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NIPPIP\Desktop\amc crecer en grande\"/>
    </mc:Choice>
  </mc:AlternateContent>
  <bookViews>
    <workbookView xWindow="0" yWindow="0" windowWidth="19200" windowHeight="7485" tabRatio="870" activeTab="7"/>
  </bookViews>
  <sheets>
    <sheet name="PROY TDPA" sheetId="8" r:id="rId1"/>
    <sheet name="Velocidad" sheetId="1" r:id="rId2"/>
    <sheet name="Tiempo" sheetId="4" r:id="rId3"/>
    <sheet name="CTP" sheetId="2" r:id="rId4"/>
    <sheet name="COV" sheetId="3" r:id="rId5"/>
    <sheet name="CGV" sheetId="5" r:id="rId6"/>
    <sheet name="COM" sheetId="6" r:id="rId7"/>
    <sheet name="INVERSION" sheetId="7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7" l="1"/>
  <c r="G16" i="7"/>
  <c r="H5" i="1" l="1"/>
  <c r="G5" i="1"/>
  <c r="E5" i="1"/>
  <c r="D5" i="1"/>
  <c r="Z6" i="1"/>
  <c r="H6" i="8" l="1"/>
  <c r="G6" i="8"/>
  <c r="F6" i="8"/>
  <c r="E6" i="8"/>
  <c r="D6" i="8"/>
  <c r="C6" i="8"/>
  <c r="J5" i="3" l="1"/>
  <c r="W7" i="4"/>
  <c r="H4" i="6"/>
  <c r="E6" i="4"/>
  <c r="C6" i="4"/>
  <c r="C8" i="2" s="1"/>
  <c r="B6" i="4"/>
  <c r="B8" i="2" s="1"/>
  <c r="F5" i="1"/>
  <c r="A2" i="1"/>
  <c r="A3" i="4" s="1"/>
  <c r="A5" i="2" s="1"/>
  <c r="A2" i="3" s="1"/>
  <c r="A2" i="5" l="1"/>
  <c r="J2" i="5" s="1"/>
  <c r="S2" i="5" s="1"/>
  <c r="I2" i="3"/>
  <c r="Q7" i="8"/>
  <c r="Q8" i="8" s="1"/>
  <c r="Q9" i="8" s="1"/>
  <c r="Q10" i="8" s="1"/>
  <c r="Q11" i="8" s="1"/>
  <c r="Q12" i="8" s="1"/>
  <c r="Q13" i="8" s="1"/>
  <c r="Q14" i="8" s="1"/>
  <c r="Q15" i="8" s="1"/>
  <c r="Q16" i="8" s="1"/>
  <c r="Q17" i="8" s="1"/>
  <c r="Q18" i="8" s="1"/>
  <c r="Q19" i="8" s="1"/>
  <c r="Q20" i="8" s="1"/>
  <c r="Q21" i="8" s="1"/>
  <c r="P7" i="8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O7" i="8"/>
  <c r="O8" i="8" s="1"/>
  <c r="O9" i="8" s="1"/>
  <c r="O10" i="8" l="1"/>
  <c r="Z8" i="4"/>
  <c r="Z10" i="4"/>
  <c r="Z11" i="4"/>
  <c r="Z12" i="4"/>
  <c r="Z14" i="4"/>
  <c r="Z15" i="4"/>
  <c r="Z16" i="4"/>
  <c r="Z18" i="4"/>
  <c r="Z19" i="4"/>
  <c r="Z20" i="4"/>
  <c r="Z22" i="4"/>
  <c r="Z7" i="4"/>
  <c r="U7" i="4"/>
  <c r="V7" i="4"/>
  <c r="T7" i="4"/>
  <c r="S8" i="4"/>
  <c r="S9" i="4"/>
  <c r="Z9" i="4" s="1"/>
  <c r="S10" i="4"/>
  <c r="S11" i="4"/>
  <c r="S12" i="4"/>
  <c r="S13" i="4"/>
  <c r="Z13" i="4" s="1"/>
  <c r="S14" i="4"/>
  <c r="S15" i="4"/>
  <c r="S16" i="4"/>
  <c r="S17" i="4"/>
  <c r="Z17" i="4" s="1"/>
  <c r="S18" i="4"/>
  <c r="S19" i="4"/>
  <c r="S20" i="4"/>
  <c r="S21" i="4"/>
  <c r="Z21" i="4" s="1"/>
  <c r="S22" i="4"/>
  <c r="S7" i="4"/>
  <c r="O7" i="4"/>
  <c r="M7" i="4"/>
  <c r="N7" i="4"/>
  <c r="R7" i="4"/>
  <c r="Q7" i="4"/>
  <c r="P7" i="4"/>
  <c r="O11" i="8" l="1"/>
  <c r="AB6" i="1"/>
  <c r="AC6" i="1"/>
  <c r="AD6" i="1"/>
  <c r="AA6" i="1"/>
  <c r="O12" i="8" l="1"/>
  <c r="K6" i="8"/>
  <c r="J6" i="8"/>
  <c r="O13" i="8" l="1"/>
  <c r="K4" i="7"/>
  <c r="F17" i="7"/>
  <c r="K24" i="8"/>
  <c r="F28" i="8" s="1"/>
  <c r="J24" i="8"/>
  <c r="D28" i="8" s="1"/>
  <c r="H10" i="6"/>
  <c r="H14" i="6"/>
  <c r="N6" i="6" s="1"/>
  <c r="C6" i="6" s="1"/>
  <c r="B5" i="1"/>
  <c r="H12" i="6"/>
  <c r="H11" i="6"/>
  <c r="N5" i="6"/>
  <c r="C5" i="6" s="1"/>
  <c r="E28" i="8" l="1"/>
  <c r="C28" i="8"/>
  <c r="H28" i="8"/>
  <c r="G28" i="8"/>
  <c r="O14" i="8"/>
  <c r="N15" i="6"/>
  <c r="N13" i="6"/>
  <c r="N10" i="6"/>
  <c r="C10" i="6" s="1"/>
  <c r="N17" i="6"/>
  <c r="N18" i="6"/>
  <c r="N16" i="6"/>
  <c r="O9" i="6"/>
  <c r="D9" i="6" s="1"/>
  <c r="H5" i="6" s="1"/>
  <c r="N8" i="6"/>
  <c r="C8" i="6" s="1"/>
  <c r="P14" i="6"/>
  <c r="E14" i="6" s="1"/>
  <c r="H6" i="6" s="1"/>
  <c r="C4" i="6"/>
  <c r="N7" i="6"/>
  <c r="C7" i="6" s="1"/>
  <c r="O15" i="8" l="1"/>
  <c r="E10" i="7"/>
  <c r="E9" i="7"/>
  <c r="E8" i="7"/>
  <c r="E7" i="7"/>
  <c r="E6" i="7"/>
  <c r="G5" i="7"/>
  <c r="E5" i="7" s="1"/>
  <c r="F5" i="7"/>
  <c r="R2" i="3"/>
  <c r="O16" i="8" l="1"/>
  <c r="K5" i="3"/>
  <c r="O5" i="3"/>
  <c r="G5" i="5" s="1"/>
  <c r="P5" i="5" s="1"/>
  <c r="X6" i="1"/>
  <c r="A18" i="1"/>
  <c r="A19" i="1"/>
  <c r="A20" i="1"/>
  <c r="A6" i="1"/>
  <c r="A7" i="1"/>
  <c r="W8" i="1" s="1"/>
  <c r="A8" i="1"/>
  <c r="A9" i="1"/>
  <c r="A10" i="1"/>
  <c r="A11" i="1"/>
  <c r="A12" i="1"/>
  <c r="A13" i="1"/>
  <c r="A14" i="1"/>
  <c r="A15" i="1"/>
  <c r="A16" i="1"/>
  <c r="A17" i="1"/>
  <c r="A5" i="1"/>
  <c r="B6" i="8"/>
  <c r="B28" i="8" l="1"/>
  <c r="R6" i="8"/>
  <c r="S6" i="8" s="1"/>
  <c r="O17" i="8"/>
  <c r="A17" i="4"/>
  <c r="W17" i="1"/>
  <c r="A13" i="4"/>
  <c r="W13" i="1"/>
  <c r="A9" i="4"/>
  <c r="W9" i="1"/>
  <c r="A20" i="4"/>
  <c r="W20" i="1"/>
  <c r="A16" i="4"/>
  <c r="W16" i="1"/>
  <c r="A12" i="4"/>
  <c r="W12" i="1"/>
  <c r="A19" i="4"/>
  <c r="W19" i="1"/>
  <c r="A6" i="4"/>
  <c r="W6" i="1"/>
  <c r="A15" i="4"/>
  <c r="W15" i="1"/>
  <c r="A11" i="4"/>
  <c r="W11" i="1"/>
  <c r="A7" i="4"/>
  <c r="W7" i="1"/>
  <c r="A18" i="4"/>
  <c r="W18" i="1"/>
  <c r="A14" i="4"/>
  <c r="W14" i="1"/>
  <c r="A10" i="4"/>
  <c r="W10" i="1"/>
  <c r="A21" i="4"/>
  <c r="W21" i="1"/>
  <c r="A8" i="4"/>
  <c r="G17" i="7"/>
  <c r="O18" i="8" l="1"/>
  <c r="A23" i="2"/>
  <c r="A20" i="3" s="1"/>
  <c r="L22" i="4"/>
  <c r="A16" i="2"/>
  <c r="A13" i="3" s="1"/>
  <c r="L15" i="4"/>
  <c r="A9" i="2"/>
  <c r="A6" i="3" s="1"/>
  <c r="L8" i="4"/>
  <c r="A17" i="2"/>
  <c r="A14" i="3" s="1"/>
  <c r="L16" i="4"/>
  <c r="A21" i="2"/>
  <c r="A18" i="3" s="1"/>
  <c r="L20" i="4"/>
  <c r="A18" i="2"/>
  <c r="A15" i="3" s="1"/>
  <c r="L17" i="4"/>
  <c r="A11" i="2"/>
  <c r="A8" i="3" s="1"/>
  <c r="L10" i="4"/>
  <c r="A19" i="2"/>
  <c r="A16" i="3" s="1"/>
  <c r="L18" i="4"/>
  <c r="A10" i="2"/>
  <c r="A7" i="3" s="1"/>
  <c r="L9" i="4"/>
  <c r="A12" i="2"/>
  <c r="A9" i="3" s="1"/>
  <c r="L11" i="4"/>
  <c r="A20" i="2"/>
  <c r="A17" i="3" s="1"/>
  <c r="L19" i="4"/>
  <c r="A13" i="2"/>
  <c r="A10" i="3" s="1"/>
  <c r="L12" i="4"/>
  <c r="A8" i="2"/>
  <c r="A5" i="3" s="1"/>
  <c r="L7" i="4"/>
  <c r="A14" i="2"/>
  <c r="A11" i="3" s="1"/>
  <c r="L13" i="4"/>
  <c r="A22" i="2"/>
  <c r="A19" i="3" s="1"/>
  <c r="L21" i="4"/>
  <c r="A15" i="2"/>
  <c r="A12" i="3" s="1"/>
  <c r="L14" i="4"/>
  <c r="G18" i="7"/>
  <c r="K5" i="7" s="1"/>
  <c r="G12" i="7"/>
  <c r="O19" i="6"/>
  <c r="D19" i="6" s="1"/>
  <c r="N12" i="6"/>
  <c r="N11" i="6"/>
  <c r="B5" i="5" l="1"/>
  <c r="K5" i="5" s="1"/>
  <c r="T5" i="5" s="1"/>
  <c r="O19" i="8"/>
  <c r="A12" i="5"/>
  <c r="I12" i="3"/>
  <c r="A11" i="5"/>
  <c r="I11" i="3"/>
  <c r="A10" i="5"/>
  <c r="I10" i="3"/>
  <c r="A9" i="5"/>
  <c r="I9" i="3"/>
  <c r="A16" i="5"/>
  <c r="I16" i="3"/>
  <c r="A15" i="5"/>
  <c r="I15" i="3"/>
  <c r="A14" i="5"/>
  <c r="I14" i="3"/>
  <c r="A13" i="5"/>
  <c r="I13" i="3"/>
  <c r="A19" i="5"/>
  <c r="I19" i="3"/>
  <c r="A5" i="5"/>
  <c r="I5" i="3"/>
  <c r="A17" i="5"/>
  <c r="I17" i="3"/>
  <c r="A7" i="5"/>
  <c r="I7" i="3"/>
  <c r="A8" i="5"/>
  <c r="I8" i="3"/>
  <c r="A18" i="5"/>
  <c r="I18" i="3"/>
  <c r="A6" i="5"/>
  <c r="I6" i="3"/>
  <c r="A20" i="5"/>
  <c r="I20" i="3"/>
  <c r="H7" i="8"/>
  <c r="G7" i="8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F7" i="8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D7" i="8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C7" i="8"/>
  <c r="O20" i="3"/>
  <c r="G20" i="5" s="1"/>
  <c r="N20" i="3"/>
  <c r="M20" i="3"/>
  <c r="L20" i="3"/>
  <c r="D20" i="5" s="1"/>
  <c r="K20" i="3"/>
  <c r="J20" i="3"/>
  <c r="O19" i="3"/>
  <c r="N19" i="3"/>
  <c r="M19" i="3"/>
  <c r="L19" i="3"/>
  <c r="D19" i="5" s="1"/>
  <c r="K19" i="3"/>
  <c r="J19" i="3"/>
  <c r="O18" i="3"/>
  <c r="G18" i="5" s="1"/>
  <c r="N18" i="3"/>
  <c r="M18" i="3"/>
  <c r="L18" i="3"/>
  <c r="D18" i="5" s="1"/>
  <c r="K18" i="3"/>
  <c r="J18" i="3"/>
  <c r="O17" i="3"/>
  <c r="N17" i="3"/>
  <c r="M17" i="3"/>
  <c r="L17" i="3"/>
  <c r="D17" i="5" s="1"/>
  <c r="K17" i="3"/>
  <c r="J17" i="3"/>
  <c r="O16" i="3"/>
  <c r="G16" i="5" s="1"/>
  <c r="N16" i="3"/>
  <c r="M16" i="3"/>
  <c r="L16" i="3"/>
  <c r="D16" i="5" s="1"/>
  <c r="K16" i="3"/>
  <c r="J16" i="3"/>
  <c r="O15" i="3"/>
  <c r="N15" i="3"/>
  <c r="M15" i="3"/>
  <c r="L15" i="3"/>
  <c r="D15" i="5" s="1"/>
  <c r="K15" i="3"/>
  <c r="J15" i="3"/>
  <c r="O14" i="3"/>
  <c r="G14" i="5" s="1"/>
  <c r="N14" i="3"/>
  <c r="M14" i="3"/>
  <c r="L14" i="3"/>
  <c r="D14" i="5" s="1"/>
  <c r="K14" i="3"/>
  <c r="J14" i="3"/>
  <c r="O13" i="3"/>
  <c r="N13" i="3"/>
  <c r="M13" i="3"/>
  <c r="L13" i="3"/>
  <c r="D13" i="5" s="1"/>
  <c r="K13" i="3"/>
  <c r="J13" i="3"/>
  <c r="O12" i="3"/>
  <c r="G12" i="5" s="1"/>
  <c r="N12" i="3"/>
  <c r="M12" i="3"/>
  <c r="L12" i="3"/>
  <c r="D12" i="5" s="1"/>
  <c r="K12" i="3"/>
  <c r="J12" i="3"/>
  <c r="O11" i="3"/>
  <c r="N11" i="3"/>
  <c r="M11" i="3"/>
  <c r="L11" i="3"/>
  <c r="D11" i="5" s="1"/>
  <c r="K11" i="3"/>
  <c r="J11" i="3"/>
  <c r="O10" i="3"/>
  <c r="G10" i="5" s="1"/>
  <c r="N10" i="3"/>
  <c r="M10" i="3"/>
  <c r="L10" i="3"/>
  <c r="D10" i="5" s="1"/>
  <c r="K10" i="3"/>
  <c r="J10" i="3"/>
  <c r="O9" i="3"/>
  <c r="N9" i="3"/>
  <c r="M9" i="3"/>
  <c r="L9" i="3"/>
  <c r="D9" i="5" s="1"/>
  <c r="K9" i="3"/>
  <c r="J9" i="3"/>
  <c r="O8" i="3"/>
  <c r="G8" i="5" s="1"/>
  <c r="N8" i="3"/>
  <c r="M8" i="3"/>
  <c r="L8" i="3"/>
  <c r="D8" i="5" s="1"/>
  <c r="K8" i="3"/>
  <c r="J8" i="3"/>
  <c r="O7" i="3"/>
  <c r="N7" i="3"/>
  <c r="M7" i="3"/>
  <c r="L7" i="3"/>
  <c r="D7" i="5" s="1"/>
  <c r="K7" i="3"/>
  <c r="J7" i="3"/>
  <c r="O6" i="3"/>
  <c r="G6" i="5" s="1"/>
  <c r="N6" i="3"/>
  <c r="M6" i="3"/>
  <c r="L6" i="3"/>
  <c r="D6" i="5" s="1"/>
  <c r="K6" i="3"/>
  <c r="J6" i="3"/>
  <c r="Y5" i="5"/>
  <c r="N5" i="3"/>
  <c r="M5" i="3"/>
  <c r="L5" i="3"/>
  <c r="G6" i="4"/>
  <c r="Y7" i="4" s="1"/>
  <c r="F6" i="4"/>
  <c r="E8" i="2"/>
  <c r="E5" i="5" s="1"/>
  <c r="N5" i="5" s="1"/>
  <c r="W5" i="5" s="1"/>
  <c r="D6" i="4"/>
  <c r="C5" i="5"/>
  <c r="L5" i="5" s="1"/>
  <c r="F8" i="2" l="1"/>
  <c r="F5" i="5" s="1"/>
  <c r="O5" i="5" s="1"/>
  <c r="X5" i="5" s="1"/>
  <c r="X7" i="4"/>
  <c r="B6" i="1"/>
  <c r="D6" i="1"/>
  <c r="Z7" i="1" s="1"/>
  <c r="J7" i="8"/>
  <c r="O20" i="8"/>
  <c r="H8" i="8"/>
  <c r="F6" i="1"/>
  <c r="K7" i="8"/>
  <c r="G19" i="5"/>
  <c r="B19" i="6"/>
  <c r="M19" i="6" s="1"/>
  <c r="S20" i="5"/>
  <c r="J20" i="5"/>
  <c r="B6" i="6"/>
  <c r="M6" i="6" s="1"/>
  <c r="S7" i="5"/>
  <c r="J7" i="5"/>
  <c r="B12" i="6"/>
  <c r="M12" i="6" s="1"/>
  <c r="S13" i="5"/>
  <c r="J13" i="5"/>
  <c r="B8" i="6"/>
  <c r="M8" i="6" s="1"/>
  <c r="S9" i="5"/>
  <c r="J9" i="5"/>
  <c r="D5" i="5"/>
  <c r="M5" i="5" s="1"/>
  <c r="V5" i="5" s="1"/>
  <c r="G7" i="5"/>
  <c r="G9" i="5"/>
  <c r="G11" i="5"/>
  <c r="G13" i="5"/>
  <c r="G15" i="5"/>
  <c r="G17" i="5"/>
  <c r="B17" i="6"/>
  <c r="M17" i="6" s="1"/>
  <c r="S18" i="5"/>
  <c r="J18" i="5"/>
  <c r="B4" i="6"/>
  <c r="M4" i="6" s="1"/>
  <c r="S5" i="5"/>
  <c r="J5" i="5"/>
  <c r="B14" i="6"/>
  <c r="M14" i="6" s="1"/>
  <c r="S15" i="5"/>
  <c r="J15" i="5"/>
  <c r="B10" i="6"/>
  <c r="M10" i="6" s="1"/>
  <c r="S11" i="5"/>
  <c r="J11" i="5"/>
  <c r="B5" i="6"/>
  <c r="M5" i="6" s="1"/>
  <c r="J6" i="5"/>
  <c r="S6" i="5"/>
  <c r="B7" i="6"/>
  <c r="M7" i="6" s="1"/>
  <c r="S8" i="5"/>
  <c r="J8" i="5"/>
  <c r="B16" i="6"/>
  <c r="M16" i="6" s="1"/>
  <c r="J17" i="5"/>
  <c r="S17" i="5"/>
  <c r="B18" i="6"/>
  <c r="M18" i="6" s="1"/>
  <c r="S19" i="5"/>
  <c r="J19" i="5"/>
  <c r="B13" i="6"/>
  <c r="M13" i="6" s="1"/>
  <c r="S14" i="5"/>
  <c r="J14" i="5"/>
  <c r="B15" i="6"/>
  <c r="M15" i="6" s="1"/>
  <c r="S16" i="5"/>
  <c r="J16" i="5"/>
  <c r="B9" i="6"/>
  <c r="M9" i="6" s="1"/>
  <c r="S10" i="5"/>
  <c r="J10" i="5"/>
  <c r="B11" i="6"/>
  <c r="M11" i="6" s="1"/>
  <c r="S12" i="5"/>
  <c r="J12" i="5"/>
  <c r="F8" i="8"/>
  <c r="P6" i="5"/>
  <c r="Y6" i="5" s="1"/>
  <c r="C8" i="8"/>
  <c r="B7" i="8"/>
  <c r="R7" i="8" s="1"/>
  <c r="S7" i="8" s="1"/>
  <c r="U5" i="5"/>
  <c r="M9" i="5"/>
  <c r="V9" i="5" s="1"/>
  <c r="M13" i="5"/>
  <c r="V13" i="5" s="1"/>
  <c r="M17" i="5"/>
  <c r="V17" i="5" s="1"/>
  <c r="M12" i="5"/>
  <c r="V12" i="5" s="1"/>
  <c r="M20" i="5"/>
  <c r="V20" i="5" s="1"/>
  <c r="M6" i="5"/>
  <c r="V6" i="5" s="1"/>
  <c r="M10" i="5"/>
  <c r="V10" i="5" s="1"/>
  <c r="M14" i="5"/>
  <c r="V14" i="5" s="1"/>
  <c r="M18" i="5"/>
  <c r="V18" i="5" s="1"/>
  <c r="M8" i="5"/>
  <c r="V8" i="5" s="1"/>
  <c r="M16" i="5"/>
  <c r="V16" i="5" s="1"/>
  <c r="M7" i="5"/>
  <c r="V7" i="5" s="1"/>
  <c r="M11" i="5"/>
  <c r="V11" i="5" s="1"/>
  <c r="M15" i="5"/>
  <c r="V15" i="5" s="1"/>
  <c r="M19" i="5"/>
  <c r="V19" i="5" s="1"/>
  <c r="E6" i="1" l="1"/>
  <c r="D7" i="4" s="1"/>
  <c r="C6" i="1"/>
  <c r="H6" i="1"/>
  <c r="U8" i="4" s="1"/>
  <c r="I6" i="1"/>
  <c r="V8" i="4" s="1"/>
  <c r="G6" i="1"/>
  <c r="B7" i="4"/>
  <c r="C7" i="4"/>
  <c r="N8" i="4"/>
  <c r="X7" i="1"/>
  <c r="B7" i="1"/>
  <c r="C7" i="1" s="1"/>
  <c r="J8" i="8"/>
  <c r="O21" i="8"/>
  <c r="H9" i="8"/>
  <c r="K8" i="8"/>
  <c r="F7" i="1"/>
  <c r="P7" i="5"/>
  <c r="Y7" i="5" s="1"/>
  <c r="O8" i="4"/>
  <c r="F9" i="8"/>
  <c r="C9" i="8"/>
  <c r="B8" i="8"/>
  <c r="R8" i="8" s="1"/>
  <c r="S8" i="8" s="1"/>
  <c r="G7" i="1" l="1"/>
  <c r="T9" i="4" s="1"/>
  <c r="E7" i="4"/>
  <c r="W8" i="4" s="1"/>
  <c r="T8" i="4"/>
  <c r="I7" i="1"/>
  <c r="G7" i="4"/>
  <c r="Y8" i="4" s="1"/>
  <c r="H7" i="1"/>
  <c r="F7" i="4"/>
  <c r="X8" i="4" s="1"/>
  <c r="B8" i="4"/>
  <c r="E7" i="1"/>
  <c r="D8" i="4" s="1"/>
  <c r="C9" i="2"/>
  <c r="C6" i="5" s="1"/>
  <c r="L6" i="5" s="1"/>
  <c r="U6" i="5" s="1"/>
  <c r="Q8" i="4"/>
  <c r="D7" i="1"/>
  <c r="X8" i="1"/>
  <c r="B8" i="1"/>
  <c r="J9" i="8"/>
  <c r="Y7" i="1"/>
  <c r="M8" i="4"/>
  <c r="H10" i="8"/>
  <c r="K9" i="8"/>
  <c r="F8" i="1"/>
  <c r="P8" i="5"/>
  <c r="Y8" i="5" s="1"/>
  <c r="AC7" i="1"/>
  <c r="R8" i="4"/>
  <c r="AA7" i="1"/>
  <c r="AB7" i="1"/>
  <c r="AD7" i="1"/>
  <c r="F10" i="8"/>
  <c r="C10" i="8"/>
  <c r="B9" i="8"/>
  <c r="R9" i="8" s="1"/>
  <c r="S9" i="8" s="1"/>
  <c r="H8" i="1" l="1"/>
  <c r="F8" i="4"/>
  <c r="X9" i="4" s="1"/>
  <c r="U9" i="4"/>
  <c r="G8" i="1"/>
  <c r="E8" i="4"/>
  <c r="W9" i="4" s="1"/>
  <c r="I8" i="1"/>
  <c r="G8" i="4"/>
  <c r="Y9" i="4" s="1"/>
  <c r="V9" i="4"/>
  <c r="D8" i="1"/>
  <c r="C8" i="4"/>
  <c r="N9" i="4"/>
  <c r="Z8" i="1"/>
  <c r="E8" i="1"/>
  <c r="C8" i="1"/>
  <c r="B9" i="4" s="1"/>
  <c r="X9" i="1"/>
  <c r="B9" i="1"/>
  <c r="J10" i="8"/>
  <c r="AA8" i="1"/>
  <c r="O9" i="4"/>
  <c r="Y8" i="1"/>
  <c r="M9" i="4"/>
  <c r="H11" i="8"/>
  <c r="F9" i="1"/>
  <c r="K10" i="8"/>
  <c r="P9" i="5"/>
  <c r="Y9" i="5" s="1"/>
  <c r="B9" i="2"/>
  <c r="P8" i="4"/>
  <c r="E9" i="2"/>
  <c r="F9" i="2"/>
  <c r="AC8" i="1"/>
  <c r="AD8" i="1"/>
  <c r="AB8" i="1"/>
  <c r="U10" i="4"/>
  <c r="F11" i="8"/>
  <c r="R9" i="4"/>
  <c r="C11" i="8"/>
  <c r="B10" i="8"/>
  <c r="R10" i="8" s="1"/>
  <c r="S10" i="8" s="1"/>
  <c r="I9" i="1" l="1"/>
  <c r="G9" i="4"/>
  <c r="Y10" i="4" s="1"/>
  <c r="H9" i="1"/>
  <c r="F9" i="4"/>
  <c r="X10" i="4" s="1"/>
  <c r="G9" i="1"/>
  <c r="E9" i="4"/>
  <c r="W10" i="4" s="1"/>
  <c r="C9" i="1"/>
  <c r="C10" i="2"/>
  <c r="C7" i="5" s="1"/>
  <c r="L7" i="5" s="1"/>
  <c r="U7" i="5" s="1"/>
  <c r="Q9" i="4"/>
  <c r="E9" i="1"/>
  <c r="D9" i="4"/>
  <c r="R10" i="4" s="1"/>
  <c r="D9" i="1"/>
  <c r="C9" i="4"/>
  <c r="Z9" i="1"/>
  <c r="N10" i="4"/>
  <c r="X10" i="1"/>
  <c r="AD10" i="1"/>
  <c r="Y9" i="1"/>
  <c r="M10" i="4"/>
  <c r="B10" i="1"/>
  <c r="J11" i="8"/>
  <c r="AA9" i="1"/>
  <c r="O10" i="4"/>
  <c r="AD9" i="1"/>
  <c r="V10" i="4"/>
  <c r="AB9" i="1"/>
  <c r="T10" i="4"/>
  <c r="H12" i="8"/>
  <c r="F10" i="1"/>
  <c r="K11" i="8"/>
  <c r="P10" i="5"/>
  <c r="Y10" i="5" s="1"/>
  <c r="F6" i="5"/>
  <c r="O6" i="5" s="1"/>
  <c r="X6" i="5" s="1"/>
  <c r="B6" i="5"/>
  <c r="K6" i="5" s="1"/>
  <c r="T6" i="5" s="1"/>
  <c r="E6" i="5"/>
  <c r="N6" i="5" s="1"/>
  <c r="W6" i="5" s="1"/>
  <c r="E10" i="2"/>
  <c r="F10" i="2"/>
  <c r="B10" i="2"/>
  <c r="P9" i="4"/>
  <c r="AC9" i="1"/>
  <c r="F12" i="8"/>
  <c r="C12" i="8"/>
  <c r="B11" i="8"/>
  <c r="R11" i="8" s="1"/>
  <c r="S11" i="8" s="1"/>
  <c r="G10" i="1" l="1"/>
  <c r="E10" i="4"/>
  <c r="W11" i="4" s="1"/>
  <c r="I10" i="1"/>
  <c r="V12" i="4" s="1"/>
  <c r="G10" i="4"/>
  <c r="Y11" i="4" s="1"/>
  <c r="H10" i="1"/>
  <c r="F10" i="4"/>
  <c r="X11" i="4" s="1"/>
  <c r="D10" i="1"/>
  <c r="C10" i="4"/>
  <c r="N11" i="4"/>
  <c r="Z10" i="1"/>
  <c r="E10" i="1"/>
  <c r="D10" i="4"/>
  <c r="R11" i="4" s="1"/>
  <c r="C11" i="2"/>
  <c r="C8" i="5" s="1"/>
  <c r="L8" i="5" s="1"/>
  <c r="U8" i="5" s="1"/>
  <c r="Q10" i="4"/>
  <c r="C10" i="1"/>
  <c r="B10" i="4"/>
  <c r="V11" i="4"/>
  <c r="Y10" i="1"/>
  <c r="M11" i="4"/>
  <c r="B11" i="1"/>
  <c r="J12" i="8"/>
  <c r="AA10" i="1"/>
  <c r="O11" i="4"/>
  <c r="AC10" i="1"/>
  <c r="U11" i="4"/>
  <c r="H13" i="8"/>
  <c r="K12" i="8"/>
  <c r="F11" i="1"/>
  <c r="P11" i="5"/>
  <c r="Y11" i="5" s="1"/>
  <c r="AB10" i="1"/>
  <c r="T11" i="4"/>
  <c r="X11" i="1"/>
  <c r="F7" i="5"/>
  <c r="O7" i="5" s="1"/>
  <c r="X7" i="5" s="1"/>
  <c r="B7" i="5"/>
  <c r="K7" i="5" s="1"/>
  <c r="T7" i="5" s="1"/>
  <c r="E7" i="5"/>
  <c r="N7" i="5" s="1"/>
  <c r="W7" i="5" s="1"/>
  <c r="E11" i="2"/>
  <c r="F11" i="2"/>
  <c r="B11" i="2"/>
  <c r="P10" i="4"/>
  <c r="F13" i="8"/>
  <c r="C13" i="8"/>
  <c r="B12" i="8"/>
  <c r="R12" i="8" s="1"/>
  <c r="S12" i="8" s="1"/>
  <c r="AD11" i="1" l="1"/>
  <c r="H11" i="1"/>
  <c r="F11" i="4"/>
  <c r="X12" i="4" s="1"/>
  <c r="G11" i="1"/>
  <c r="E11" i="4"/>
  <c r="W12" i="4" s="1"/>
  <c r="I11" i="1"/>
  <c r="AD12" i="1" s="1"/>
  <c r="G11" i="4"/>
  <c r="Y12" i="4" s="1"/>
  <c r="C12" i="2"/>
  <c r="C9" i="5" s="1"/>
  <c r="L9" i="5" s="1"/>
  <c r="U9" i="5" s="1"/>
  <c r="Q11" i="4"/>
  <c r="C11" i="1"/>
  <c r="B11" i="4"/>
  <c r="E11" i="1"/>
  <c r="D11" i="4"/>
  <c r="R12" i="4" s="1"/>
  <c r="D11" i="1"/>
  <c r="C11" i="4"/>
  <c r="N12" i="4"/>
  <c r="Z11" i="1"/>
  <c r="X12" i="1"/>
  <c r="AA11" i="1"/>
  <c r="O12" i="4"/>
  <c r="B12" i="1"/>
  <c r="J13" i="8"/>
  <c r="Y11" i="1"/>
  <c r="M12" i="4"/>
  <c r="AC11" i="1"/>
  <c r="U12" i="4"/>
  <c r="AB11" i="1"/>
  <c r="T12" i="4"/>
  <c r="H14" i="8"/>
  <c r="F12" i="1"/>
  <c r="K13" i="8"/>
  <c r="P12" i="5"/>
  <c r="Y12" i="5" s="1"/>
  <c r="F8" i="5"/>
  <c r="O8" i="5" s="1"/>
  <c r="X8" i="5" s="1"/>
  <c r="E8" i="5"/>
  <c r="N8" i="5" s="1"/>
  <c r="W8" i="5" s="1"/>
  <c r="B8" i="5"/>
  <c r="K8" i="5" s="1"/>
  <c r="T8" i="5" s="1"/>
  <c r="B12" i="2"/>
  <c r="P11" i="4"/>
  <c r="F12" i="2"/>
  <c r="F9" i="5" s="1"/>
  <c r="E12" i="2"/>
  <c r="F14" i="8"/>
  <c r="C14" i="8"/>
  <c r="B13" i="8"/>
  <c r="R13" i="8" s="1"/>
  <c r="S13" i="8" s="1"/>
  <c r="V13" i="4" l="1"/>
  <c r="G12" i="1"/>
  <c r="E12" i="4"/>
  <c r="W13" i="4" s="1"/>
  <c r="I12" i="1"/>
  <c r="G12" i="4"/>
  <c r="Y13" i="4" s="1"/>
  <c r="H12" i="1"/>
  <c r="F12" i="4"/>
  <c r="X13" i="4" s="1"/>
  <c r="C13" i="2"/>
  <c r="C10" i="5" s="1"/>
  <c r="L10" i="5" s="1"/>
  <c r="U10" i="5" s="1"/>
  <c r="Q12" i="4"/>
  <c r="C12" i="1"/>
  <c r="B12" i="4"/>
  <c r="D12" i="1"/>
  <c r="C12" i="4"/>
  <c r="N13" i="4"/>
  <c r="Z12" i="1"/>
  <c r="E12" i="1"/>
  <c r="D12" i="4"/>
  <c r="R13" i="4" s="1"/>
  <c r="B13" i="1"/>
  <c r="J14" i="8"/>
  <c r="X13" i="1"/>
  <c r="AA12" i="1"/>
  <c r="O13" i="4"/>
  <c r="Y12" i="1"/>
  <c r="M13" i="4"/>
  <c r="AB12" i="1"/>
  <c r="T13" i="4"/>
  <c r="AC12" i="1"/>
  <c r="U13" i="4"/>
  <c r="H15" i="8"/>
  <c r="F13" i="1"/>
  <c r="K14" i="8"/>
  <c r="P13" i="5"/>
  <c r="Y13" i="5" s="1"/>
  <c r="O9" i="5"/>
  <c r="X9" i="5" s="1"/>
  <c r="B9" i="5"/>
  <c r="K9" i="5" s="1"/>
  <c r="T9" i="5" s="1"/>
  <c r="E9" i="5"/>
  <c r="N9" i="5" s="1"/>
  <c r="W9" i="5" s="1"/>
  <c r="E13" i="2"/>
  <c r="F13" i="2"/>
  <c r="F10" i="5" s="1"/>
  <c r="B13" i="2"/>
  <c r="P12" i="4"/>
  <c r="F15" i="8"/>
  <c r="C15" i="8"/>
  <c r="B14" i="8"/>
  <c r="R14" i="8" s="1"/>
  <c r="S14" i="8" s="1"/>
  <c r="I13" i="1" l="1"/>
  <c r="G13" i="4"/>
  <c r="Y14" i="4" s="1"/>
  <c r="H13" i="1"/>
  <c r="F13" i="4"/>
  <c r="X14" i="4" s="1"/>
  <c r="G13" i="1"/>
  <c r="E13" i="4"/>
  <c r="W14" i="4" s="1"/>
  <c r="E13" i="1"/>
  <c r="D13" i="4"/>
  <c r="D13" i="1"/>
  <c r="C13" i="4"/>
  <c r="N14" i="4"/>
  <c r="Z13" i="1"/>
  <c r="C13" i="1"/>
  <c r="B13" i="4"/>
  <c r="Q13" i="4"/>
  <c r="C14" i="2"/>
  <c r="C11" i="5" s="1"/>
  <c r="L11" i="5" s="1"/>
  <c r="U11" i="5" s="1"/>
  <c r="X14" i="1"/>
  <c r="Y13" i="1"/>
  <c r="M14" i="4"/>
  <c r="B14" i="1"/>
  <c r="J15" i="8"/>
  <c r="AA13" i="1"/>
  <c r="O14" i="4"/>
  <c r="AB13" i="1"/>
  <c r="T14" i="4"/>
  <c r="AD13" i="1"/>
  <c r="V14" i="4"/>
  <c r="AC13" i="1"/>
  <c r="U14" i="4"/>
  <c r="H16" i="8"/>
  <c r="F14" i="1"/>
  <c r="K15" i="8"/>
  <c r="P14" i="5"/>
  <c r="Y14" i="5" s="1"/>
  <c r="B10" i="5"/>
  <c r="K10" i="5" s="1"/>
  <c r="T10" i="5" s="1"/>
  <c r="E10" i="5"/>
  <c r="N10" i="5" s="1"/>
  <c r="W10" i="5" s="1"/>
  <c r="O10" i="5"/>
  <c r="X10" i="5" s="1"/>
  <c r="B14" i="2"/>
  <c r="P13" i="4"/>
  <c r="E14" i="2"/>
  <c r="F14" i="2"/>
  <c r="F11" i="5" s="1"/>
  <c r="F16" i="8"/>
  <c r="R14" i="4"/>
  <c r="C16" i="8"/>
  <c r="B15" i="8"/>
  <c r="R15" i="8" s="1"/>
  <c r="S15" i="8" s="1"/>
  <c r="H14" i="1" l="1"/>
  <c r="F14" i="4"/>
  <c r="X15" i="4" s="1"/>
  <c r="G14" i="1"/>
  <c r="E14" i="4"/>
  <c r="W15" i="4" s="1"/>
  <c r="I14" i="1"/>
  <c r="G14" i="4"/>
  <c r="Y15" i="4" s="1"/>
  <c r="Q14" i="4"/>
  <c r="C15" i="2"/>
  <c r="C12" i="5" s="1"/>
  <c r="L12" i="5" s="1"/>
  <c r="U12" i="5" s="1"/>
  <c r="C14" i="1"/>
  <c r="B15" i="4" s="1"/>
  <c r="B14" i="4"/>
  <c r="D14" i="1"/>
  <c r="C14" i="4"/>
  <c r="N15" i="4"/>
  <c r="Z14" i="1"/>
  <c r="E14" i="1"/>
  <c r="D14" i="4"/>
  <c r="R15" i="4" s="1"/>
  <c r="AD15" i="1"/>
  <c r="X15" i="1"/>
  <c r="Y14" i="1"/>
  <c r="M15" i="4"/>
  <c r="AA14" i="1"/>
  <c r="O15" i="4"/>
  <c r="B15" i="1"/>
  <c r="J16" i="8"/>
  <c r="AC14" i="1"/>
  <c r="U15" i="4"/>
  <c r="AB14" i="1"/>
  <c r="T15" i="4"/>
  <c r="H17" i="8"/>
  <c r="K16" i="8"/>
  <c r="F15" i="1"/>
  <c r="P15" i="5"/>
  <c r="Y15" i="5" s="1"/>
  <c r="AD14" i="1"/>
  <c r="V15" i="4"/>
  <c r="O11" i="5"/>
  <c r="X11" i="5" s="1"/>
  <c r="E11" i="5"/>
  <c r="N11" i="5" s="1"/>
  <c r="W11" i="5" s="1"/>
  <c r="B11" i="5"/>
  <c r="K11" i="5" s="1"/>
  <c r="T11" i="5" s="1"/>
  <c r="E15" i="2"/>
  <c r="B15" i="2"/>
  <c r="B12" i="5" s="1"/>
  <c r="P14" i="4"/>
  <c r="F15" i="2"/>
  <c r="F12" i="5" s="1"/>
  <c r="F17" i="8"/>
  <c r="C17" i="8"/>
  <c r="B16" i="8"/>
  <c r="R16" i="8" s="1"/>
  <c r="S16" i="8" s="1"/>
  <c r="C15" i="1" l="1"/>
  <c r="B16" i="4" s="1"/>
  <c r="G15" i="1"/>
  <c r="E15" i="4"/>
  <c r="W16" i="4" s="1"/>
  <c r="I15" i="1"/>
  <c r="G15" i="4"/>
  <c r="Y16" i="4" s="1"/>
  <c r="H15" i="1"/>
  <c r="F15" i="4"/>
  <c r="X16" i="4" s="1"/>
  <c r="D15" i="1"/>
  <c r="C15" i="4"/>
  <c r="N16" i="4"/>
  <c r="Z15" i="1"/>
  <c r="E15" i="1"/>
  <c r="D15" i="4"/>
  <c r="R16" i="4" s="1"/>
  <c r="C16" i="2"/>
  <c r="C13" i="5" s="1"/>
  <c r="L13" i="5" s="1"/>
  <c r="U13" i="5" s="1"/>
  <c r="Q15" i="4"/>
  <c r="V16" i="4"/>
  <c r="X16" i="1"/>
  <c r="B16" i="1"/>
  <c r="J17" i="8"/>
  <c r="AA15" i="1"/>
  <c r="O16" i="4"/>
  <c r="Y15" i="1"/>
  <c r="M16" i="4"/>
  <c r="H18" i="8"/>
  <c r="K17" i="8"/>
  <c r="F16" i="1"/>
  <c r="P16" i="5"/>
  <c r="Y16" i="5" s="1"/>
  <c r="AC15" i="1"/>
  <c r="U16" i="4"/>
  <c r="AB15" i="1"/>
  <c r="T16" i="4"/>
  <c r="K12" i="5"/>
  <c r="T12" i="5" s="1"/>
  <c r="O12" i="5"/>
  <c r="X12" i="5" s="1"/>
  <c r="E12" i="5"/>
  <c r="N12" i="5" s="1"/>
  <c r="W12" i="5" s="1"/>
  <c r="B16" i="2"/>
  <c r="B13" i="5" s="1"/>
  <c r="P15" i="4"/>
  <c r="F16" i="2"/>
  <c r="F13" i="5" s="1"/>
  <c r="E16" i="2"/>
  <c r="F18" i="8"/>
  <c r="C18" i="8"/>
  <c r="B17" i="8"/>
  <c r="R17" i="8" s="1"/>
  <c r="S17" i="8" s="1"/>
  <c r="C16" i="1" l="1"/>
  <c r="I16" i="1"/>
  <c r="AD17" i="1" s="1"/>
  <c r="G16" i="4"/>
  <c r="Y17" i="4" s="1"/>
  <c r="AD16" i="1"/>
  <c r="H16" i="1"/>
  <c r="F16" i="4"/>
  <c r="X17" i="4" s="1"/>
  <c r="G16" i="1"/>
  <c r="E16" i="4"/>
  <c r="W17" i="4" s="1"/>
  <c r="C17" i="2"/>
  <c r="C14" i="5" s="1"/>
  <c r="L14" i="5" s="1"/>
  <c r="U14" i="5" s="1"/>
  <c r="Q16" i="4"/>
  <c r="E16" i="1"/>
  <c r="D16" i="4"/>
  <c r="D16" i="1"/>
  <c r="C16" i="4"/>
  <c r="N17" i="4"/>
  <c r="Z16" i="1"/>
  <c r="B17" i="4"/>
  <c r="X17" i="1"/>
  <c r="V17" i="4"/>
  <c r="Y16" i="1"/>
  <c r="M17" i="4"/>
  <c r="B17" i="1"/>
  <c r="J18" i="8"/>
  <c r="AA16" i="1"/>
  <c r="O17" i="4"/>
  <c r="AB16" i="1"/>
  <c r="T17" i="4"/>
  <c r="AC16" i="1"/>
  <c r="U17" i="4"/>
  <c r="H19" i="8"/>
  <c r="K18" i="8"/>
  <c r="F17" i="1"/>
  <c r="P17" i="5"/>
  <c r="Y17" i="5" s="1"/>
  <c r="E13" i="5"/>
  <c r="N13" i="5" s="1"/>
  <c r="W13" i="5" s="1"/>
  <c r="O13" i="5"/>
  <c r="X13" i="5" s="1"/>
  <c r="K13" i="5"/>
  <c r="T13" i="5" s="1"/>
  <c r="E17" i="2"/>
  <c r="F17" i="2"/>
  <c r="F14" i="5" s="1"/>
  <c r="B17" i="2"/>
  <c r="B14" i="5" s="1"/>
  <c r="P16" i="4"/>
  <c r="R17" i="4"/>
  <c r="F19" i="8"/>
  <c r="C19" i="8"/>
  <c r="B18" i="8"/>
  <c r="R18" i="8" s="1"/>
  <c r="S18" i="8" s="1"/>
  <c r="H17" i="1" l="1"/>
  <c r="F17" i="4"/>
  <c r="X18" i="4" s="1"/>
  <c r="G17" i="1"/>
  <c r="E17" i="4"/>
  <c r="W18" i="4" s="1"/>
  <c r="I17" i="1"/>
  <c r="AD18" i="1" s="1"/>
  <c r="G17" i="4"/>
  <c r="Y18" i="4" s="1"/>
  <c r="E17" i="1"/>
  <c r="D17" i="4"/>
  <c r="C18" i="2"/>
  <c r="C15" i="5" s="1"/>
  <c r="L15" i="5" s="1"/>
  <c r="U15" i="5" s="1"/>
  <c r="Q17" i="4"/>
  <c r="C17" i="1"/>
  <c r="B18" i="4" s="1"/>
  <c r="D17" i="1"/>
  <c r="C17" i="4"/>
  <c r="N18" i="4"/>
  <c r="Z17" i="1"/>
  <c r="V18" i="4"/>
  <c r="X18" i="1"/>
  <c r="AA17" i="1"/>
  <c r="O18" i="4"/>
  <c r="B18" i="1"/>
  <c r="J19" i="8"/>
  <c r="Y17" i="1"/>
  <c r="M18" i="4"/>
  <c r="AC17" i="1"/>
  <c r="U18" i="4"/>
  <c r="H20" i="8"/>
  <c r="F18" i="1"/>
  <c r="K19" i="8"/>
  <c r="P18" i="5"/>
  <c r="Y18" i="5" s="1"/>
  <c r="AB17" i="1"/>
  <c r="T18" i="4"/>
  <c r="O14" i="5"/>
  <c r="X14" i="5" s="1"/>
  <c r="K14" i="5"/>
  <c r="T14" i="5" s="1"/>
  <c r="E14" i="5"/>
  <c r="N14" i="5" s="1"/>
  <c r="W14" i="5" s="1"/>
  <c r="B18" i="2"/>
  <c r="B15" i="5" s="1"/>
  <c r="P17" i="4"/>
  <c r="E18" i="2"/>
  <c r="F18" i="2"/>
  <c r="F15" i="5" s="1"/>
  <c r="F20" i="8"/>
  <c r="R18" i="4"/>
  <c r="C20" i="8"/>
  <c r="B19" i="8"/>
  <c r="R19" i="8" s="1"/>
  <c r="S19" i="8" s="1"/>
  <c r="X19" i="1" l="1"/>
  <c r="V19" i="4"/>
  <c r="G18" i="1"/>
  <c r="E18" i="4"/>
  <c r="W19" i="4" s="1"/>
  <c r="I18" i="1"/>
  <c r="G18" i="4"/>
  <c r="Y19" i="4" s="1"/>
  <c r="H18" i="1"/>
  <c r="F18" i="4"/>
  <c r="X19" i="4" s="1"/>
  <c r="C18" i="1"/>
  <c r="C19" i="2"/>
  <c r="C16" i="5" s="1"/>
  <c r="L16" i="5" s="1"/>
  <c r="U16" i="5" s="1"/>
  <c r="Q18" i="4"/>
  <c r="D18" i="1"/>
  <c r="C18" i="4"/>
  <c r="N19" i="4"/>
  <c r="Z18" i="1"/>
  <c r="E18" i="1"/>
  <c r="D18" i="4"/>
  <c r="B19" i="4"/>
  <c r="B19" i="1"/>
  <c r="C19" i="1" s="1"/>
  <c r="J20" i="8"/>
  <c r="AD19" i="1"/>
  <c r="Y18" i="1"/>
  <c r="M19" i="4"/>
  <c r="AA18" i="1"/>
  <c r="O19" i="4"/>
  <c r="AC18" i="1"/>
  <c r="U19" i="4"/>
  <c r="H21" i="8"/>
  <c r="K20" i="8"/>
  <c r="F19" i="1"/>
  <c r="P19" i="5"/>
  <c r="Y19" i="5" s="1"/>
  <c r="AB18" i="1"/>
  <c r="T19" i="4"/>
  <c r="O15" i="5"/>
  <c r="X15" i="5" s="1"/>
  <c r="E15" i="5"/>
  <c r="N15" i="5" s="1"/>
  <c r="W15" i="5" s="1"/>
  <c r="K15" i="5"/>
  <c r="T15" i="5" s="1"/>
  <c r="E19" i="2"/>
  <c r="B19" i="2"/>
  <c r="B16" i="5" s="1"/>
  <c r="P18" i="4"/>
  <c r="F19" i="2"/>
  <c r="F16" i="5" s="1"/>
  <c r="R19" i="4"/>
  <c r="F21" i="8"/>
  <c r="M20" i="4"/>
  <c r="C21" i="8"/>
  <c r="B20" i="8"/>
  <c r="R20" i="8" s="1"/>
  <c r="S20" i="8" s="1"/>
  <c r="I19" i="1" l="1"/>
  <c r="V21" i="4" s="1"/>
  <c r="G19" i="4"/>
  <c r="Y20" i="4" s="1"/>
  <c r="H19" i="1"/>
  <c r="F19" i="4"/>
  <c r="X20" i="4" s="1"/>
  <c r="G19" i="1"/>
  <c r="E19" i="4"/>
  <c r="W20" i="4" s="1"/>
  <c r="B20" i="4"/>
  <c r="Y20" i="1"/>
  <c r="M21" i="4"/>
  <c r="C20" i="2"/>
  <c r="C17" i="5" s="1"/>
  <c r="L17" i="5" s="1"/>
  <c r="U17" i="5" s="1"/>
  <c r="Q19" i="4"/>
  <c r="E19" i="1"/>
  <c r="D19" i="4"/>
  <c r="R20" i="4" s="1"/>
  <c r="D19" i="1"/>
  <c r="C19" i="4"/>
  <c r="N20" i="4"/>
  <c r="Z19" i="1"/>
  <c r="V20" i="4"/>
  <c r="X20" i="1"/>
  <c r="B20" i="1"/>
  <c r="C20" i="1" s="1"/>
  <c r="J21" i="8"/>
  <c r="AA19" i="1"/>
  <c r="O20" i="4"/>
  <c r="AC19" i="1"/>
  <c r="U20" i="4"/>
  <c r="AB19" i="1"/>
  <c r="T20" i="4"/>
  <c r="F20" i="1"/>
  <c r="K21" i="8"/>
  <c r="P20" i="5"/>
  <c r="Y20" i="5" s="1"/>
  <c r="O16" i="5"/>
  <c r="X16" i="5" s="1"/>
  <c r="K16" i="5"/>
  <c r="T16" i="5" s="1"/>
  <c r="E16" i="5"/>
  <c r="N16" i="5" s="1"/>
  <c r="W16" i="5" s="1"/>
  <c r="B20" i="2"/>
  <c r="B17" i="5" s="1"/>
  <c r="P19" i="4"/>
  <c r="F20" i="2"/>
  <c r="F17" i="5" s="1"/>
  <c r="E20" i="2"/>
  <c r="Y19" i="1"/>
  <c r="B21" i="8"/>
  <c r="R21" i="8" s="1"/>
  <c r="S21" i="8" s="1"/>
  <c r="H20" i="1" l="1"/>
  <c r="F21" i="4" s="1"/>
  <c r="X22" i="4" s="1"/>
  <c r="F20" i="4"/>
  <c r="X21" i="4" s="1"/>
  <c r="G20" i="1"/>
  <c r="E21" i="4" s="1"/>
  <c r="W22" i="4" s="1"/>
  <c r="E20" i="4"/>
  <c r="W21" i="4" s="1"/>
  <c r="I20" i="1"/>
  <c r="G21" i="4" s="1"/>
  <c r="Y22" i="4" s="1"/>
  <c r="G20" i="4"/>
  <c r="Y21" i="4" s="1"/>
  <c r="M22" i="4"/>
  <c r="B21" i="4"/>
  <c r="Y21" i="1"/>
  <c r="E20" i="1"/>
  <c r="D21" i="4" s="1"/>
  <c r="D20" i="4"/>
  <c r="R21" i="4" s="1"/>
  <c r="Q20" i="4"/>
  <c r="C21" i="2"/>
  <c r="C18" i="5" s="1"/>
  <c r="L18" i="5" s="1"/>
  <c r="U18" i="5" s="1"/>
  <c r="D20" i="1"/>
  <c r="C20" i="4"/>
  <c r="N21" i="4"/>
  <c r="Z20" i="1"/>
  <c r="B22" i="2"/>
  <c r="B19" i="5" s="1"/>
  <c r="K19" i="5" s="1"/>
  <c r="T19" i="5" s="1"/>
  <c r="P21" i="4"/>
  <c r="AD20" i="1"/>
  <c r="AA20" i="1"/>
  <c r="O21" i="4"/>
  <c r="X21" i="1"/>
  <c r="AC20" i="1"/>
  <c r="U21" i="4"/>
  <c r="AB20" i="1"/>
  <c r="T21" i="4"/>
  <c r="O17" i="5"/>
  <c r="X17" i="5" s="1"/>
  <c r="E17" i="5"/>
  <c r="N17" i="5" s="1"/>
  <c r="W17" i="5" s="1"/>
  <c r="K17" i="5"/>
  <c r="T17" i="5" s="1"/>
  <c r="E21" i="2"/>
  <c r="F21" i="2"/>
  <c r="F18" i="5" s="1"/>
  <c r="B21" i="2"/>
  <c r="B18" i="5" s="1"/>
  <c r="P20" i="4"/>
  <c r="T22" i="4"/>
  <c r="O22" i="4" l="1"/>
  <c r="U22" i="4"/>
  <c r="V22" i="4"/>
  <c r="B23" i="2"/>
  <c r="B20" i="5" s="1"/>
  <c r="K20" i="5" s="1"/>
  <c r="T20" i="5" s="1"/>
  <c r="P22" i="4"/>
  <c r="C21" i="4"/>
  <c r="N22" i="4"/>
  <c r="Z21" i="1"/>
  <c r="Q21" i="4"/>
  <c r="C22" i="2"/>
  <c r="C19" i="5" s="1"/>
  <c r="L19" i="5" s="1"/>
  <c r="U19" i="5" s="1"/>
  <c r="AD21" i="1"/>
  <c r="O18" i="5"/>
  <c r="X18" i="5" s="1"/>
  <c r="K18" i="5"/>
  <c r="T18" i="5" s="1"/>
  <c r="E18" i="5"/>
  <c r="N18" i="5" s="1"/>
  <c r="W18" i="5" s="1"/>
  <c r="F22" i="2"/>
  <c r="F19" i="5" s="1"/>
  <c r="E22" i="2"/>
  <c r="R22" i="4"/>
  <c r="AA21" i="1"/>
  <c r="AB21" i="1"/>
  <c r="AC21" i="1"/>
  <c r="C23" i="2" l="1"/>
  <c r="C20" i="5" s="1"/>
  <c r="L20" i="5" s="1"/>
  <c r="U20" i="5" s="1"/>
  <c r="Q22" i="4"/>
  <c r="E19" i="5"/>
  <c r="N19" i="5" s="1"/>
  <c r="W19" i="5" s="1"/>
  <c r="O19" i="5"/>
  <c r="X19" i="5" s="1"/>
  <c r="F23" i="2"/>
  <c r="F20" i="5" s="1"/>
  <c r="E23" i="2"/>
  <c r="O20" i="5" l="1"/>
  <c r="X20" i="5" s="1"/>
  <c r="E20" i="5"/>
  <c r="N20" i="5" s="1"/>
  <c r="W20" i="5" s="1"/>
</calcChain>
</file>

<file path=xl/sharedStrings.xml><?xml version="1.0" encoding="utf-8"?>
<sst xmlns="http://schemas.openxmlformats.org/spreadsheetml/2006/main" count="280" uniqueCount="97">
  <si>
    <t>TMCA</t>
  </si>
  <si>
    <t>AÑOS</t>
  </si>
  <si>
    <t>TDPA 2 SENTIDOS</t>
  </si>
  <si>
    <t>Nivel de Servicio</t>
  </si>
  <si>
    <t>TRAMOS</t>
  </si>
  <si>
    <t>A</t>
  </si>
  <si>
    <t>B</t>
  </si>
  <si>
    <t>C</t>
  </si>
  <si>
    <t>Automóvil</t>
  </si>
  <si>
    <t>Autobús</t>
  </si>
  <si>
    <t>Camión</t>
  </si>
  <si>
    <t>Velocidad Km/hr</t>
  </si>
  <si>
    <t>Tiempo de Traslado en horas por tipo de vehiculo y sentido vial</t>
  </si>
  <si>
    <t>Tramo</t>
  </si>
  <si>
    <t>Longitud Kms</t>
  </si>
  <si>
    <t>T01</t>
  </si>
  <si>
    <t>SUPUESTOS:</t>
  </si>
  <si>
    <t>Pasajeros Automóvil:</t>
  </si>
  <si>
    <t>Pasajeros Autobús:</t>
  </si>
  <si>
    <t xml:space="preserve"> Costo Unitario por Tiempo de Viaje de los Pasajeros por tipo de vehículo y sentido vial </t>
  </si>
  <si>
    <t>Costo Unitario de Operación Vehicular por Kilómetro, por tipo de vehiculo y sentido vial</t>
  </si>
  <si>
    <t>Costo Unitario de Operación Vehicular por tipo de vehiculo y sentido vial</t>
  </si>
  <si>
    <t xml:space="preserve">Costo Generalizado de Viaje por unidad vehicular, dia, tipo de vehículo y sentido vial </t>
  </si>
  <si>
    <t>COMPOSICIÓN VEHICULAR</t>
  </si>
  <si>
    <t>AE-01</t>
  </si>
  <si>
    <t>TDPA 
2 sentidos</t>
  </si>
  <si>
    <t>Tabla: Costos Parametricos de Conservación y Mantenimiento.</t>
  </si>
  <si>
    <t>Costos Parametricos de Conservación y Mantenimiento (SITUACIÓN CON PROYECTO).</t>
  </si>
  <si>
    <t>AÑO</t>
  </si>
  <si>
    <t>Conservación ($ año)</t>
  </si>
  <si>
    <t>NORMAL</t>
  </si>
  <si>
    <t>RUTINARIA</t>
  </si>
  <si>
    <t>RECONSTRUCCIÓN</t>
  </si>
  <si>
    <t>Conceptos</t>
  </si>
  <si>
    <t>Inversión</t>
  </si>
  <si>
    <t>Años</t>
  </si>
  <si>
    <t>Normal</t>
  </si>
  <si>
    <t>Cada año</t>
  </si>
  <si>
    <t>Fuente: Elaboración propia.</t>
  </si>
  <si>
    <t>Conservación normal</t>
  </si>
  <si>
    <t>$/km/carril</t>
  </si>
  <si>
    <t>Riego de sello</t>
  </si>
  <si>
    <t>Sobrecarpeta</t>
  </si>
  <si>
    <t>Número de carriles</t>
  </si>
  <si>
    <t>Metros</t>
  </si>
  <si>
    <t>Inversión parametrica del proyecto sin I.V.A., desglosado tipo de infraestructura y por componentes.</t>
  </si>
  <si>
    <t>Componente</t>
  </si>
  <si>
    <t>Descripción</t>
  </si>
  <si>
    <t>Unidad</t>
  </si>
  <si>
    <t>Costo         Unitario</t>
  </si>
  <si>
    <t>Cantidad</t>
  </si>
  <si>
    <t xml:space="preserve">Monto total </t>
  </si>
  <si>
    <t>Terracerías</t>
  </si>
  <si>
    <t>Cuerpo de terraplén y capa  subrasante</t>
  </si>
  <si>
    <t>m2</t>
  </si>
  <si>
    <t>Obras de drenaje</t>
  </si>
  <si>
    <t>Pavimentos</t>
  </si>
  <si>
    <t>Señalización</t>
  </si>
  <si>
    <t>Inversión parametrica del proyecto sin I.V.A. por año.</t>
  </si>
  <si>
    <t>Año</t>
  </si>
  <si>
    <t>Concepto</t>
  </si>
  <si>
    <t>TDPA</t>
  </si>
  <si>
    <t>Sentido al Periferico</t>
  </si>
  <si>
    <t>Sentido a la Av Siglo XXI</t>
  </si>
  <si>
    <t>Avenida</t>
  </si>
  <si>
    <t>Valor Social del tiempo pasajeros 2018:</t>
  </si>
  <si>
    <t>Banquetas y Guarniciones</t>
  </si>
  <si>
    <t>ml</t>
  </si>
  <si>
    <t>Base hidráulica y Carpeta asfáltica de 10 cms de espesor</t>
  </si>
  <si>
    <t>Construcción de 5 drenajes menores, tipo cajón de concreto hidraulico con muros de mamposteria</t>
  </si>
  <si>
    <t>Construcción de 7,089.32 m2 de banquetas y 3,544.66 ml de guarniciones, incluye pasos peatonales</t>
  </si>
  <si>
    <t>Construción de 8 paraderos de 6.30 m de largo por 3.45 metros de ancho por 3.55 de alto de acuerdo a las especificaciones técnicas y normativas de la SCT, así como 24 m3 de cunetas de concreto hidraulico y 22 ml de lavadero de concreto</t>
  </si>
  <si>
    <t>pza</t>
  </si>
  <si>
    <t>Alumbrado público</t>
  </si>
  <si>
    <t>Alumbrado Público con luminarias de 40 watts incluye panel solar, brazos metalicos, postes, bases de concreto y cablea de varios calibres</t>
  </si>
  <si>
    <t>Instalación de señalética grado ingeniería, vertical y horizontal fijo</t>
  </si>
  <si>
    <t>2024, 2034</t>
  </si>
  <si>
    <t>Costos de Conservación y Mantenimiento en pesos del 2018 (SITUACIÓN CON PROYECTO).</t>
  </si>
  <si>
    <t>Valor Catastral del proyecto</t>
  </si>
  <si>
    <t>Paraderos</t>
  </si>
  <si>
    <t>INVERSIÓN DE LA VIALIDAD</t>
  </si>
  <si>
    <t>Subtotal Infraestructura Vial</t>
  </si>
  <si>
    <t>Costo de Oportunidad</t>
  </si>
  <si>
    <t>Rutinaria (Periodica menor)</t>
  </si>
  <si>
    <t>Rutinaria (Periodica mayor)</t>
  </si>
  <si>
    <t>TDPA (ambos sentidos)</t>
  </si>
  <si>
    <t xml:space="preserve">INVERSIÓN </t>
  </si>
  <si>
    <t xml:space="preserve"> Costo Generalizado de Viaje por dia, tipo de vehículo y sentido vial (miles de pesos del 2018).</t>
  </si>
  <si>
    <t>Costo Generalizado de Viaje al Año por tipo de vehículo y sentido vial (millones de pesos del 2018).</t>
  </si>
  <si>
    <t>Velocidad</t>
  </si>
  <si>
    <t>Tiempo</t>
  </si>
  <si>
    <t>Aforo Vehicular</t>
  </si>
  <si>
    <t>TPDA ANUAL</t>
  </si>
  <si>
    <t>Costo del Terreno</t>
  </si>
  <si>
    <t>Av. Crecer en Grande</t>
  </si>
  <si>
    <t>Derecho de Vía</t>
  </si>
  <si>
    <t xml:space="preserve">Construcción de la Av. Crecer en Grande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</si>
</sst>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##,##0;\(##,##0\)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5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>
      <alignment vertical="top"/>
    </xf>
    <xf numFmtId="0" fontId="8" fillId="0" borderId="0"/>
    <xf numFmtId="9" fontId="4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1">
      <alignment vertical="top"/>
    </xf>
    <xf numFmtId="0" fontId="13" fillId="0" borderId="0" xfId="1" applyFont="1">
      <alignment vertical="top"/>
    </xf>
    <xf numFmtId="0" fontId="16" fillId="0" borderId="0" xfId="1" applyFont="1" applyAlignment="1">
      <alignment horizontal="center" vertical="top"/>
    </xf>
    <xf numFmtId="164" fontId="13" fillId="0" borderId="37" xfId="2" applyNumberFormat="1" applyFont="1" applyBorder="1" applyAlignment="1">
      <alignment horizontal="center" vertical="center"/>
    </xf>
    <xf numFmtId="164" fontId="3" fillId="0" borderId="0" xfId="2" applyNumberFormat="1" applyFont="1">
      <alignment vertical="top"/>
    </xf>
    <xf numFmtId="0" fontId="6" fillId="0" borderId="0" xfId="1" applyFont="1">
      <alignment vertical="top"/>
    </xf>
    <xf numFmtId="3" fontId="13" fillId="0" borderId="1" xfId="1" applyNumberFormat="1" applyFont="1" applyBorder="1">
      <alignment vertical="top"/>
    </xf>
    <xf numFmtId="10" fontId="3" fillId="0" borderId="0" xfId="1" applyNumberFormat="1">
      <alignment vertical="top"/>
    </xf>
    <xf numFmtId="0" fontId="16" fillId="0" borderId="8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0" fontId="15" fillId="0" borderId="9" xfId="1" applyFont="1" applyBorder="1">
      <alignment vertical="top"/>
    </xf>
    <xf numFmtId="1" fontId="15" fillId="0" borderId="38" xfId="2" applyNumberFormat="1" applyFont="1" applyBorder="1" applyAlignment="1">
      <alignment horizontal="center" vertical="center"/>
    </xf>
    <xf numFmtId="1" fontId="15" fillId="0" borderId="20" xfId="2" applyNumberFormat="1" applyFont="1" applyBorder="1" applyAlignment="1">
      <alignment horizontal="center" vertical="center"/>
    </xf>
    <xf numFmtId="0" fontId="16" fillId="0" borderId="0" xfId="1" applyFont="1" applyBorder="1" applyAlignment="1">
      <alignment vertical="center" wrapText="1"/>
    </xf>
    <xf numFmtId="0" fontId="3" fillId="0" borderId="0" xfId="1">
      <alignment vertical="top"/>
    </xf>
    <xf numFmtId="0" fontId="13" fillId="0" borderId="0" xfId="1" applyFont="1">
      <alignment vertical="top"/>
    </xf>
    <xf numFmtId="0" fontId="4" fillId="0" borderId="0" xfId="1" applyFont="1">
      <alignment vertical="top"/>
    </xf>
    <xf numFmtId="43" fontId="13" fillId="0" borderId="22" xfId="2" applyFont="1" applyBorder="1" applyAlignment="1">
      <alignment horizontal="center" vertical="center"/>
    </xf>
    <xf numFmtId="43" fontId="13" fillId="0" borderId="13" xfId="2" applyFont="1" applyBorder="1" applyAlignment="1">
      <alignment horizontal="center" vertical="center"/>
    </xf>
    <xf numFmtId="43" fontId="3" fillId="0" borderId="0" xfId="1" applyNumberFormat="1">
      <alignment vertical="top"/>
    </xf>
    <xf numFmtId="0" fontId="3" fillId="0" borderId="0" xfId="1">
      <alignment vertical="top"/>
    </xf>
    <xf numFmtId="0" fontId="3" fillId="0" borderId="0" xfId="1" applyAlignment="1"/>
    <xf numFmtId="0" fontId="3" fillId="2" borderId="0" xfId="1" applyFill="1" applyAlignment="1"/>
    <xf numFmtId="0" fontId="17" fillId="2" borderId="0" xfId="1" applyFont="1" applyFill="1" applyAlignment="1">
      <alignment horizontal="right"/>
    </xf>
    <xf numFmtId="0" fontId="3" fillId="0" borderId="0" xfId="1" applyBorder="1" applyAlignment="1"/>
    <xf numFmtId="0" fontId="18" fillId="2" borderId="0" xfId="1" applyFont="1" applyFill="1" applyAlignment="1">
      <alignment horizontal="right"/>
    </xf>
    <xf numFmtId="0" fontId="3" fillId="2" borderId="0" xfId="1" applyFill="1" applyAlignment="1">
      <alignment horizontal="left"/>
    </xf>
    <xf numFmtId="0" fontId="3" fillId="2" borderId="0" xfId="1" applyFill="1" applyBorder="1" applyAlignment="1"/>
    <xf numFmtId="0" fontId="3" fillId="0" borderId="0" xfId="1">
      <alignment vertical="top"/>
    </xf>
    <xf numFmtId="0" fontId="13" fillId="0" borderId="0" xfId="1" applyFont="1">
      <alignment vertical="top"/>
    </xf>
    <xf numFmtId="0" fontId="4" fillId="0" borderId="0" xfId="1" applyFont="1">
      <alignment vertical="top"/>
    </xf>
    <xf numFmtId="0" fontId="3" fillId="0" borderId="0" xfId="1">
      <alignment vertical="top"/>
    </xf>
    <xf numFmtId="0" fontId="13" fillId="0" borderId="0" xfId="1" applyFont="1">
      <alignment vertical="top"/>
    </xf>
    <xf numFmtId="44" fontId="13" fillId="0" borderId="36" xfId="4" applyFont="1" applyBorder="1" applyAlignment="1">
      <alignment horizontal="center" vertical="center"/>
    </xf>
    <xf numFmtId="44" fontId="13" fillId="0" borderId="37" xfId="4" applyFont="1" applyBorder="1" applyAlignment="1">
      <alignment horizontal="center" vertical="center"/>
    </xf>
    <xf numFmtId="44" fontId="13" fillId="0" borderId="23" xfId="4" applyFont="1" applyBorder="1" applyAlignment="1">
      <alignment horizontal="center" vertical="center"/>
    </xf>
    <xf numFmtId="44" fontId="13" fillId="0" borderId="22" xfId="4" applyFont="1" applyBorder="1" applyAlignment="1">
      <alignment horizontal="center" vertical="center"/>
    </xf>
    <xf numFmtId="44" fontId="13" fillId="0" borderId="18" xfId="4" applyFont="1" applyBorder="1" applyAlignment="1">
      <alignment horizontal="center" vertical="center"/>
    </xf>
    <xf numFmtId="44" fontId="13" fillId="0" borderId="15" xfId="4" applyFont="1" applyBorder="1" applyAlignment="1">
      <alignment horizontal="center" vertical="center"/>
    </xf>
    <xf numFmtId="44" fontId="13" fillId="0" borderId="17" xfId="4" applyFont="1" applyBorder="1" applyAlignment="1">
      <alignment horizontal="center" vertical="center"/>
    </xf>
    <xf numFmtId="44" fontId="13" fillId="0" borderId="13" xfId="4" applyFont="1" applyBorder="1" applyAlignment="1">
      <alignment horizontal="center" vertical="center"/>
    </xf>
    <xf numFmtId="44" fontId="13" fillId="0" borderId="14" xfId="4" applyFont="1" applyBorder="1" applyAlignment="1">
      <alignment horizontal="center" vertical="center"/>
    </xf>
    <xf numFmtId="0" fontId="3" fillId="3" borderId="0" xfId="1" applyFill="1">
      <alignment vertical="top"/>
    </xf>
    <xf numFmtId="44" fontId="19" fillId="0" borderId="16" xfId="4" applyFont="1" applyBorder="1" applyAlignment="1">
      <alignment horizontal="center" vertical="center"/>
    </xf>
    <xf numFmtId="0" fontId="3" fillId="0" borderId="0" xfId="1">
      <alignment vertical="top"/>
    </xf>
    <xf numFmtId="0" fontId="13" fillId="0" borderId="7" xfId="1" applyFont="1" applyBorder="1">
      <alignment vertical="top"/>
    </xf>
    <xf numFmtId="0" fontId="13" fillId="0" borderId="0" xfId="1" applyFont="1" applyBorder="1">
      <alignment vertical="top"/>
    </xf>
    <xf numFmtId="0" fontId="13" fillId="0" borderId="9" xfId="1" applyFont="1" applyBorder="1">
      <alignment vertical="top"/>
    </xf>
    <xf numFmtId="164" fontId="13" fillId="0" borderId="1" xfId="2" applyNumberFormat="1" applyFont="1" applyBorder="1">
      <alignment vertical="top"/>
    </xf>
    <xf numFmtId="164" fontId="13" fillId="0" borderId="12" xfId="2" applyNumberFormat="1" applyFont="1" applyBorder="1">
      <alignment vertical="top"/>
    </xf>
    <xf numFmtId="164" fontId="13" fillId="0" borderId="16" xfId="2" applyNumberFormat="1" applyFont="1" applyBorder="1">
      <alignment vertical="top"/>
    </xf>
    <xf numFmtId="164" fontId="13" fillId="0" borderId="17" xfId="2" applyNumberFormat="1" applyFont="1" applyBorder="1">
      <alignment vertical="top"/>
    </xf>
    <xf numFmtId="164" fontId="13" fillId="0" borderId="18" xfId="2" applyNumberFormat="1" applyFont="1" applyBorder="1">
      <alignment vertical="top"/>
    </xf>
    <xf numFmtId="164" fontId="13" fillId="0" borderId="13" xfId="2" applyNumberFormat="1" applyFont="1" applyBorder="1">
      <alignment vertical="top"/>
    </xf>
    <xf numFmtId="164" fontId="13" fillId="0" borderId="14" xfId="2" applyNumberFormat="1" applyFont="1" applyBorder="1">
      <alignment vertical="top"/>
    </xf>
    <xf numFmtId="164" fontId="13" fillId="0" borderId="15" xfId="2" applyNumberFormat="1" applyFont="1" applyBorder="1">
      <alignment vertical="top"/>
    </xf>
    <xf numFmtId="164" fontId="13" fillId="0" borderId="19" xfId="2" applyNumberFormat="1" applyFont="1" applyBorder="1">
      <alignment vertical="top"/>
    </xf>
    <xf numFmtId="164" fontId="13" fillId="0" borderId="20" xfId="2" applyNumberFormat="1" applyFont="1" applyBorder="1">
      <alignment vertical="top"/>
    </xf>
    <xf numFmtId="164" fontId="13" fillId="0" borderId="21" xfId="2" applyNumberFormat="1" applyFont="1" applyBorder="1">
      <alignment vertical="top"/>
    </xf>
    <xf numFmtId="164" fontId="13" fillId="0" borderId="23" xfId="2" applyNumberFormat="1" applyFont="1" applyBorder="1">
      <alignment vertical="top"/>
    </xf>
    <xf numFmtId="164" fontId="13" fillId="0" borderId="22" xfId="2" applyNumberFormat="1" applyFont="1" applyBorder="1">
      <alignment vertical="top"/>
    </xf>
    <xf numFmtId="164" fontId="13" fillId="0" borderId="24" xfId="2" applyNumberFormat="1" applyFont="1" applyBorder="1">
      <alignment vertical="top"/>
    </xf>
    <xf numFmtId="0" fontId="3" fillId="0" borderId="0" xfId="1" applyAlignment="1"/>
    <xf numFmtId="0" fontId="3" fillId="0" borderId="0" xfId="1" applyFill="1" applyAlignment="1"/>
    <xf numFmtId="0" fontId="2" fillId="0" borderId="2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2" fillId="0" borderId="27" xfId="1" applyFont="1" applyFill="1" applyBorder="1" applyAlignment="1">
      <alignment horizontal="center"/>
    </xf>
    <xf numFmtId="0" fontId="2" fillId="0" borderId="28" xfId="1" applyFont="1" applyFill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164" fontId="3" fillId="0" borderId="30" xfId="1" applyNumberFormat="1" applyFill="1" applyBorder="1" applyAlignment="1"/>
    <xf numFmtId="0" fontId="13" fillId="4" borderId="0" xfId="1" applyFont="1" applyFill="1">
      <alignment vertical="top"/>
    </xf>
    <xf numFmtId="10" fontId="13" fillId="4" borderId="0" xfId="1" applyNumberFormat="1" applyFont="1" applyFill="1">
      <alignment vertical="top"/>
    </xf>
    <xf numFmtId="0" fontId="9" fillId="0" borderId="52" xfId="5" applyFont="1" applyBorder="1" applyAlignment="1">
      <alignment horizontal="right"/>
    </xf>
    <xf numFmtId="0" fontId="9" fillId="0" borderId="2" xfId="5" applyFont="1" applyBorder="1" applyAlignment="1">
      <alignment horizontal="center"/>
    </xf>
    <xf numFmtId="0" fontId="3" fillId="0" borderId="0" xfId="1">
      <alignment vertical="top"/>
    </xf>
    <xf numFmtId="0" fontId="1" fillId="0" borderId="7" xfId="1" applyFont="1" applyBorder="1" applyAlignment="1"/>
    <xf numFmtId="8" fontId="1" fillId="0" borderId="7" xfId="1" applyNumberFormat="1" applyFont="1" applyBorder="1" applyAlignment="1">
      <alignment horizontal="center"/>
    </xf>
    <xf numFmtId="0" fontId="1" fillId="0" borderId="7" xfId="1" applyFont="1" applyBorder="1" applyAlignment="1">
      <alignment horizontal="right"/>
    </xf>
    <xf numFmtId="8" fontId="1" fillId="0" borderId="0" xfId="1" applyNumberFormat="1" applyFont="1" applyBorder="1" applyAlignment="1">
      <alignment horizontal="center"/>
    </xf>
    <xf numFmtId="8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right"/>
    </xf>
    <xf numFmtId="0" fontId="1" fillId="0" borderId="0" xfId="1" applyFont="1" applyAlignment="1"/>
    <xf numFmtId="165" fontId="1" fillId="0" borderId="0" xfId="2" applyNumberFormat="1" applyFont="1" applyFill="1" applyBorder="1" applyAlignment="1">
      <alignment horizontal="center" vertical="center"/>
    </xf>
    <xf numFmtId="166" fontId="1" fillId="0" borderId="0" xfId="1" applyNumberFormat="1" applyFont="1" applyFill="1" applyBorder="1" applyAlignment="1"/>
    <xf numFmtId="166" fontId="1" fillId="0" borderId="14" xfId="1" applyNumberFormat="1" applyFont="1" applyFill="1" applyBorder="1" applyAlignment="1"/>
    <xf numFmtId="166" fontId="1" fillId="0" borderId="0" xfId="1" applyNumberFormat="1" applyFont="1" applyAlignment="1"/>
    <xf numFmtId="0" fontId="9" fillId="0" borderId="11" xfId="5" applyFont="1" applyBorder="1"/>
    <xf numFmtId="0" fontId="8" fillId="0" borderId="3" xfId="5" applyBorder="1"/>
    <xf numFmtId="0" fontId="9" fillId="0" borderId="0" xfId="5" applyFont="1" applyBorder="1" applyAlignment="1">
      <alignment horizontal="right"/>
    </xf>
    <xf numFmtId="43" fontId="10" fillId="0" borderId="0" xfId="3" applyNumberFormat="1" applyFont="1" applyBorder="1"/>
    <xf numFmtId="0" fontId="9" fillId="0" borderId="0" xfId="5" applyFont="1" applyBorder="1"/>
    <xf numFmtId="0" fontId="8" fillId="0" borderId="4" xfId="5" applyBorder="1"/>
    <xf numFmtId="0" fontId="9" fillId="0" borderId="5" xfId="5" applyFont="1" applyBorder="1" applyAlignment="1">
      <alignment horizontal="center"/>
    </xf>
    <xf numFmtId="1" fontId="10" fillId="0" borderId="0" xfId="5" applyNumberFormat="1" applyFont="1" applyBorder="1"/>
    <xf numFmtId="2" fontId="10" fillId="0" borderId="0" xfId="5" applyNumberFormat="1" applyFont="1" applyBorder="1"/>
    <xf numFmtId="0" fontId="8" fillId="0" borderId="53" xfId="5" applyBorder="1"/>
    <xf numFmtId="0" fontId="9" fillId="0" borderId="54" xfId="5" applyFont="1" applyBorder="1" applyAlignment="1">
      <alignment horizontal="right"/>
    </xf>
    <xf numFmtId="0" fontId="9" fillId="0" borderId="6" xfId="5" applyFont="1" applyBorder="1" applyAlignment="1">
      <alignment horizontal="right"/>
    </xf>
    <xf numFmtId="0" fontId="9" fillId="0" borderId="55" xfId="5" applyFont="1" applyBorder="1" applyAlignment="1">
      <alignment horizontal="right"/>
    </xf>
    <xf numFmtId="0" fontId="3" fillId="0" borderId="14" xfId="1" applyBorder="1">
      <alignment vertical="top"/>
    </xf>
    <xf numFmtId="43" fontId="13" fillId="0" borderId="16" xfId="2" applyFont="1" applyFill="1" applyBorder="1" applyAlignment="1">
      <alignment horizontal="center" vertical="center"/>
    </xf>
    <xf numFmtId="43" fontId="13" fillId="0" borderId="23" xfId="2" applyFont="1" applyFill="1" applyBorder="1" applyAlignment="1">
      <alignment horizontal="center" vertical="center"/>
    </xf>
    <xf numFmtId="43" fontId="13" fillId="0" borderId="22" xfId="2" applyFont="1" applyFill="1" applyBorder="1" applyAlignment="1">
      <alignment horizontal="center" vertical="center"/>
    </xf>
    <xf numFmtId="43" fontId="13" fillId="0" borderId="13" xfId="2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8" fontId="25" fillId="0" borderId="0" xfId="0" applyNumberFormat="1" applyFont="1" applyBorder="1" applyAlignment="1">
      <alignment horizontal="right" vertical="center" wrapText="1"/>
    </xf>
    <xf numFmtId="4" fontId="25" fillId="0" borderId="0" xfId="0" applyNumberFormat="1" applyFont="1" applyBorder="1" applyAlignment="1">
      <alignment horizontal="right" vertical="center"/>
    </xf>
    <xf numFmtId="8" fontId="25" fillId="0" borderId="0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right" vertical="center"/>
    </xf>
    <xf numFmtId="8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8" fontId="12" fillId="0" borderId="41" xfId="0" applyNumberFormat="1" applyFont="1" applyBorder="1" applyAlignment="1"/>
    <xf numFmtId="0" fontId="13" fillId="0" borderId="0" xfId="0" applyFont="1" applyAlignment="1">
      <alignment vertical="top"/>
    </xf>
    <xf numFmtId="0" fontId="25" fillId="0" borderId="58" xfId="0" applyFont="1" applyBorder="1" applyAlignment="1">
      <alignment vertical="center" wrapText="1"/>
    </xf>
    <xf numFmtId="0" fontId="25" fillId="0" borderId="58" xfId="0" applyFont="1" applyBorder="1" applyAlignment="1">
      <alignment horizontal="center" vertical="center" wrapText="1"/>
    </xf>
    <xf numFmtId="8" fontId="25" fillId="0" borderId="58" xfId="0" applyNumberFormat="1" applyFont="1" applyBorder="1" applyAlignment="1">
      <alignment horizontal="right" vertical="center"/>
    </xf>
    <xf numFmtId="4" fontId="25" fillId="0" borderId="58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44" fontId="13" fillId="0" borderId="16" xfId="4" applyFont="1" applyFill="1" applyBorder="1" applyAlignment="1">
      <alignment horizontal="center" vertical="center"/>
    </xf>
    <xf numFmtId="44" fontId="13" fillId="0" borderId="17" xfId="4" applyFont="1" applyFill="1" applyBorder="1" applyAlignment="1">
      <alignment horizontal="center" vertical="center"/>
    </xf>
    <xf numFmtId="44" fontId="13" fillId="0" borderId="18" xfId="4" applyFont="1" applyFill="1" applyBorder="1" applyAlignment="1">
      <alignment horizontal="center" vertical="center"/>
    </xf>
    <xf numFmtId="44" fontId="13" fillId="0" borderId="22" xfId="4" applyFont="1" applyFill="1" applyBorder="1" applyAlignment="1">
      <alignment horizontal="center" vertical="center"/>
    </xf>
    <xf numFmtId="44" fontId="13" fillId="0" borderId="13" xfId="4" applyFont="1" applyFill="1" applyBorder="1" applyAlignment="1">
      <alignment horizontal="center" vertical="center"/>
    </xf>
    <xf numFmtId="44" fontId="13" fillId="0" borderId="14" xfId="4" applyFont="1" applyFill="1" applyBorder="1" applyAlignment="1">
      <alignment horizontal="center" vertical="center"/>
    </xf>
    <xf numFmtId="44" fontId="13" fillId="0" borderId="15" xfId="4" applyFont="1" applyFill="1" applyBorder="1" applyAlignment="1">
      <alignment horizontal="center" vertical="center"/>
    </xf>
    <xf numFmtId="44" fontId="13" fillId="0" borderId="37" xfId="4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1" fontId="15" fillId="0" borderId="19" xfId="2" applyNumberFormat="1" applyFont="1" applyFill="1" applyBorder="1" applyAlignment="1">
      <alignment horizontal="center" vertical="center"/>
    </xf>
    <xf numFmtId="1" fontId="15" fillId="0" borderId="20" xfId="2" applyNumberFormat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44" fontId="15" fillId="0" borderId="0" xfId="7" applyFont="1" applyAlignment="1">
      <alignment vertical="top"/>
    </xf>
    <xf numFmtId="4" fontId="27" fillId="0" borderId="0" xfId="0" applyNumberFormat="1" applyFont="1" applyBorder="1" applyAlignment="1">
      <alignment horizontal="right" vertical="center" wrapText="1"/>
    </xf>
    <xf numFmtId="0" fontId="0" fillId="0" borderId="0" xfId="1" applyFont="1" applyBorder="1" applyAlignment="1">
      <alignment horizontal="right"/>
    </xf>
    <xf numFmtId="166" fontId="1" fillId="0" borderId="0" xfId="1" applyNumberFormat="1" applyFont="1" applyAlignment="1"/>
    <xf numFmtId="0" fontId="9" fillId="0" borderId="0" xfId="5" applyFont="1" applyBorder="1"/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top" wrapText="1"/>
    </xf>
    <xf numFmtId="8" fontId="30" fillId="5" borderId="57" xfId="0" applyNumberFormat="1" applyFont="1" applyFill="1" applyBorder="1" applyAlignment="1">
      <alignment vertical="center"/>
    </xf>
    <xf numFmtId="0" fontId="29" fillId="5" borderId="13" xfId="1" applyFont="1" applyFill="1" applyBorder="1" applyAlignment="1">
      <alignment horizontal="center" vertical="center" wrapText="1"/>
    </xf>
    <xf numFmtId="0" fontId="29" fillId="5" borderId="14" xfId="1" applyFont="1" applyFill="1" applyBorder="1" applyAlignment="1">
      <alignment horizontal="center" vertical="center" wrapText="1"/>
    </xf>
    <xf numFmtId="0" fontId="29" fillId="5" borderId="15" xfId="1" applyFont="1" applyFill="1" applyBorder="1" applyAlignment="1">
      <alignment horizontal="center" vertical="center" wrapText="1"/>
    </xf>
    <xf numFmtId="0" fontId="29" fillId="5" borderId="22" xfId="1" applyFont="1" applyFill="1" applyBorder="1" applyAlignment="1">
      <alignment horizontal="center" vertical="center" wrapText="1"/>
    </xf>
    <xf numFmtId="0" fontId="3" fillId="5" borderId="0" xfId="1" applyFill="1">
      <alignment vertical="top"/>
    </xf>
    <xf numFmtId="0" fontId="20" fillId="5" borderId="40" xfId="1" applyFont="1" applyFill="1" applyBorder="1" applyAlignment="1">
      <alignment horizontal="center" vertical="center" wrapTex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16" fillId="5" borderId="14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5" fillId="5" borderId="38" xfId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vertical="center"/>
    </xf>
    <xf numFmtId="0" fontId="16" fillId="5" borderId="15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/>
    </xf>
    <xf numFmtId="0" fontId="2" fillId="5" borderId="14" xfId="1" applyFont="1" applyFill="1" applyBorder="1" applyAlignment="1">
      <alignment horizontal="center"/>
    </xf>
    <xf numFmtId="0" fontId="24" fillId="5" borderId="0" xfId="0" applyFont="1" applyFill="1" applyAlignment="1">
      <alignment horizontal="center" vertical="center" wrapText="1"/>
    </xf>
    <xf numFmtId="0" fontId="2" fillId="5" borderId="58" xfId="0" applyFont="1" applyFill="1" applyBorder="1" applyAlignment="1">
      <alignment horizontal="center"/>
    </xf>
    <xf numFmtId="164" fontId="0" fillId="0" borderId="0" xfId="0" applyNumberFormat="1"/>
    <xf numFmtId="10" fontId="3" fillId="0" borderId="32" xfId="6" applyNumberFormat="1" applyFont="1" applyFill="1" applyBorder="1" applyAlignment="1">
      <alignment horizontal="center"/>
    </xf>
    <xf numFmtId="10" fontId="3" fillId="0" borderId="33" xfId="6" applyNumberFormat="1" applyFont="1" applyFill="1" applyBorder="1" applyAlignment="1">
      <alignment horizontal="center"/>
    </xf>
    <xf numFmtId="10" fontId="3" fillId="0" borderId="31" xfId="6" applyNumberFormat="1" applyFont="1" applyFill="1" applyBorder="1" applyAlignment="1">
      <alignment horizontal="center"/>
    </xf>
    <xf numFmtId="10" fontId="3" fillId="0" borderId="34" xfId="6" applyNumberFormat="1" applyFont="1" applyFill="1" applyBorder="1" applyAlignment="1">
      <alignment horizontal="center"/>
    </xf>
    <xf numFmtId="10" fontId="3" fillId="0" borderId="35" xfId="6" applyNumberFormat="1" applyFont="1" applyFill="1" applyBorder="1" applyAlignment="1">
      <alignment horizontal="center"/>
    </xf>
    <xf numFmtId="8" fontId="12" fillId="5" borderId="41" xfId="0" applyNumberFormat="1" applyFont="1" applyFill="1" applyBorder="1" applyAlignment="1"/>
    <xf numFmtId="8" fontId="25" fillId="0" borderId="0" xfId="7" applyNumberFormat="1" applyFont="1" applyBorder="1" applyAlignment="1">
      <alignment vertical="center"/>
    </xf>
    <xf numFmtId="8" fontId="12" fillId="0" borderId="0" xfId="0" applyNumberFormat="1" applyFont="1" applyAlignment="1">
      <alignment vertical="top"/>
    </xf>
    <xf numFmtId="0" fontId="12" fillId="5" borderId="0" xfId="1" applyFont="1" applyFill="1" applyBorder="1" applyAlignment="1">
      <alignment horizontal="center"/>
    </xf>
    <xf numFmtId="0" fontId="12" fillId="5" borderId="14" xfId="1" applyFont="1" applyFill="1" applyBorder="1" applyAlignment="1">
      <alignment horizontal="center"/>
    </xf>
    <xf numFmtId="0" fontId="0" fillId="0" borderId="0" xfId="1" applyFont="1" applyBorder="1" applyAlignment="1"/>
    <xf numFmtId="0" fontId="0" fillId="0" borderId="58" xfId="1" applyFont="1" applyBorder="1" applyAlignment="1"/>
    <xf numFmtId="0" fontId="2" fillId="5" borderId="0" xfId="1" applyFont="1" applyFill="1" applyAlignment="1">
      <alignment horizontal="center"/>
    </xf>
    <xf numFmtId="0" fontId="16" fillId="5" borderId="24" xfId="1" applyFont="1" applyFill="1" applyBorder="1" applyAlignment="1">
      <alignment horizontal="center" vertical="center" wrapText="1"/>
    </xf>
    <xf numFmtId="0" fontId="13" fillId="0" borderId="58" xfId="1" applyFont="1" applyBorder="1">
      <alignment vertical="top"/>
    </xf>
    <xf numFmtId="3" fontId="13" fillId="0" borderId="59" xfId="1" applyNumberFormat="1" applyFont="1" applyBorder="1">
      <alignment vertical="top"/>
    </xf>
    <xf numFmtId="164" fontId="13" fillId="0" borderId="60" xfId="2" applyNumberFormat="1" applyFont="1" applyBorder="1" applyAlignment="1">
      <alignment horizontal="center" vertical="center"/>
    </xf>
    <xf numFmtId="164" fontId="13" fillId="0" borderId="61" xfId="2" applyNumberFormat="1" applyFont="1" applyBorder="1">
      <alignment vertical="top"/>
    </xf>
    <xf numFmtId="164" fontId="13" fillId="0" borderId="62" xfId="2" applyNumberFormat="1" applyFont="1" applyBorder="1">
      <alignment vertical="top"/>
    </xf>
    <xf numFmtId="0" fontId="3" fillId="0" borderId="58" xfId="1" applyBorder="1">
      <alignment vertical="top"/>
    </xf>
    <xf numFmtId="0" fontId="16" fillId="0" borderId="63" xfId="1" applyFont="1" applyBorder="1" applyAlignment="1">
      <alignment horizontal="center" vertical="center"/>
    </xf>
    <xf numFmtId="0" fontId="16" fillId="5" borderId="15" xfId="1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16" fillId="5" borderId="19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0" fontId="16" fillId="5" borderId="39" xfId="1" applyFont="1" applyFill="1" applyBorder="1" applyAlignment="1">
      <alignment horizontal="center" vertical="center" wrapText="1"/>
    </xf>
    <xf numFmtId="0" fontId="16" fillId="5" borderId="64" xfId="1" applyFont="1" applyFill="1" applyBorder="1" applyAlignment="1">
      <alignment horizontal="center" vertical="center" wrapText="1"/>
    </xf>
    <xf numFmtId="0" fontId="13" fillId="0" borderId="42" xfId="1" applyFont="1" applyBorder="1">
      <alignment vertical="top"/>
    </xf>
    <xf numFmtId="44" fontId="13" fillId="0" borderId="66" xfId="4" applyFont="1" applyBorder="1" applyAlignment="1">
      <alignment horizontal="center" vertical="center"/>
    </xf>
    <xf numFmtId="44" fontId="13" fillId="0" borderId="67" xfId="4" applyFont="1" applyBorder="1" applyAlignment="1">
      <alignment horizontal="center" vertical="center"/>
    </xf>
    <xf numFmtId="44" fontId="13" fillId="0" borderId="68" xfId="4" applyFont="1" applyBorder="1" applyAlignment="1">
      <alignment horizontal="center" vertical="center"/>
    </xf>
    <xf numFmtId="44" fontId="13" fillId="0" borderId="65" xfId="4" applyFont="1" applyBorder="1" applyAlignment="1">
      <alignment horizontal="center" vertical="center"/>
    </xf>
    <xf numFmtId="44" fontId="13" fillId="0" borderId="69" xfId="4" applyFont="1" applyBorder="1" applyAlignment="1">
      <alignment horizontal="center" vertical="center"/>
    </xf>
    <xf numFmtId="43" fontId="13" fillId="0" borderId="66" xfId="2" applyFont="1" applyBorder="1" applyAlignment="1">
      <alignment horizontal="center" vertical="center"/>
    </xf>
    <xf numFmtId="43" fontId="13" fillId="0" borderId="69" xfId="2" applyFont="1" applyBorder="1" applyAlignment="1">
      <alignment horizontal="center" vertical="center"/>
    </xf>
    <xf numFmtId="0" fontId="0" fillId="0" borderId="0" xfId="0" applyBorder="1"/>
    <xf numFmtId="2" fontId="13" fillId="0" borderId="13" xfId="7" applyNumberFormat="1" applyFont="1" applyBorder="1" applyAlignment="1">
      <alignment horizontal="center" vertical="center"/>
    </xf>
    <xf numFmtId="2" fontId="13" fillId="0" borderId="14" xfId="7" applyNumberFormat="1" applyFont="1" applyBorder="1" applyAlignment="1">
      <alignment horizontal="center" vertical="center"/>
    </xf>
    <xf numFmtId="2" fontId="13" fillId="0" borderId="15" xfId="7" applyNumberFormat="1" applyFont="1" applyBorder="1" applyAlignment="1">
      <alignment horizontal="center" vertical="center"/>
    </xf>
    <xf numFmtId="2" fontId="13" fillId="0" borderId="19" xfId="7" applyNumberFormat="1" applyFont="1" applyBorder="1" applyAlignment="1">
      <alignment horizontal="center" vertical="center"/>
    </xf>
    <xf numFmtId="2" fontId="13" fillId="0" borderId="20" xfId="7" applyNumberFormat="1" applyFont="1" applyBorder="1" applyAlignment="1">
      <alignment horizontal="center" vertical="center"/>
    </xf>
    <xf numFmtId="2" fontId="13" fillId="0" borderId="21" xfId="7" applyNumberFormat="1" applyFont="1" applyBorder="1" applyAlignment="1">
      <alignment horizontal="center" vertical="center"/>
    </xf>
    <xf numFmtId="2" fontId="13" fillId="0" borderId="22" xfId="4" applyNumberFormat="1" applyFont="1" applyBorder="1" applyAlignment="1">
      <alignment horizontal="center" vertical="center"/>
    </xf>
    <xf numFmtId="2" fontId="13" fillId="0" borderId="24" xfId="4" applyNumberFormat="1" applyFont="1" applyBorder="1" applyAlignment="1">
      <alignment horizontal="center" vertical="center"/>
    </xf>
    <xf numFmtId="0" fontId="16" fillId="6" borderId="13" xfId="1" applyFont="1" applyFill="1" applyBorder="1" applyAlignment="1">
      <alignment horizontal="center" vertical="center" wrapText="1"/>
    </xf>
    <xf numFmtId="0" fontId="16" fillId="6" borderId="14" xfId="1" applyFont="1" applyFill="1" applyBorder="1" applyAlignment="1">
      <alignment horizontal="center" vertical="center" wrapText="1"/>
    </xf>
    <xf numFmtId="0" fontId="16" fillId="6" borderId="15" xfId="1" applyFont="1" applyFill="1" applyBorder="1" applyAlignment="1">
      <alignment horizontal="center" vertical="center" wrapText="1"/>
    </xf>
    <xf numFmtId="0" fontId="16" fillId="6" borderId="37" xfId="1" applyFont="1" applyFill="1" applyBorder="1" applyAlignment="1">
      <alignment horizontal="center" vertical="center" wrapText="1"/>
    </xf>
    <xf numFmtId="0" fontId="16" fillId="6" borderId="24" xfId="1" applyFont="1" applyFill="1" applyBorder="1" applyAlignment="1">
      <alignment horizontal="center" vertical="center" wrapText="1"/>
    </xf>
    <xf numFmtId="167" fontId="19" fillId="0" borderId="16" xfId="4" applyNumberFormat="1" applyFont="1" applyBorder="1" applyAlignment="1">
      <alignment horizontal="center" vertical="center"/>
    </xf>
    <xf numFmtId="167" fontId="13" fillId="0" borderId="17" xfId="4" applyNumberFormat="1" applyFont="1" applyBorder="1" applyAlignment="1">
      <alignment horizontal="center" vertical="center"/>
    </xf>
    <xf numFmtId="167" fontId="13" fillId="0" borderId="18" xfId="4" applyNumberFormat="1" applyFont="1" applyBorder="1" applyAlignment="1">
      <alignment horizontal="center" vertical="center"/>
    </xf>
    <xf numFmtId="167" fontId="13" fillId="0" borderId="36" xfId="4" applyNumberFormat="1" applyFont="1" applyBorder="1" applyAlignment="1">
      <alignment horizontal="center" vertical="center"/>
    </xf>
    <xf numFmtId="167" fontId="13" fillId="0" borderId="23" xfId="4" applyNumberFormat="1" applyFont="1" applyBorder="1" applyAlignment="1">
      <alignment horizontal="center" vertical="center"/>
    </xf>
    <xf numFmtId="167" fontId="13" fillId="0" borderId="22" xfId="4" applyNumberFormat="1" applyFont="1" applyBorder="1" applyAlignment="1">
      <alignment horizontal="center" vertical="center"/>
    </xf>
    <xf numFmtId="167" fontId="13" fillId="0" borderId="13" xfId="4" applyNumberFormat="1" applyFont="1" applyBorder="1" applyAlignment="1">
      <alignment horizontal="center" vertical="center"/>
    </xf>
    <xf numFmtId="167" fontId="13" fillId="0" borderId="14" xfId="4" applyNumberFormat="1" applyFont="1" applyBorder="1" applyAlignment="1">
      <alignment horizontal="center" vertical="center"/>
    </xf>
    <xf numFmtId="167" fontId="13" fillId="0" borderId="15" xfId="4" applyNumberFormat="1" applyFont="1" applyBorder="1" applyAlignment="1">
      <alignment horizontal="center" vertical="center"/>
    </xf>
    <xf numFmtId="167" fontId="13" fillId="0" borderId="37" xfId="4" applyNumberFormat="1" applyFont="1" applyBorder="1" applyAlignment="1">
      <alignment horizontal="center" vertical="center"/>
    </xf>
    <xf numFmtId="167" fontId="13" fillId="0" borderId="66" xfId="4" applyNumberFormat="1" applyFont="1" applyBorder="1" applyAlignment="1">
      <alignment horizontal="center" vertical="center"/>
    </xf>
    <xf numFmtId="167" fontId="13" fillId="0" borderId="67" xfId="4" applyNumberFormat="1" applyFont="1" applyBorder="1" applyAlignment="1">
      <alignment horizontal="center" vertical="center"/>
    </xf>
    <xf numFmtId="167" fontId="13" fillId="0" borderId="68" xfId="4" applyNumberFormat="1" applyFont="1" applyBorder="1" applyAlignment="1">
      <alignment horizontal="center" vertical="center"/>
    </xf>
    <xf numFmtId="167" fontId="13" fillId="0" borderId="65" xfId="4" applyNumberFormat="1" applyFont="1" applyBorder="1" applyAlignment="1">
      <alignment horizontal="center" vertical="center"/>
    </xf>
    <xf numFmtId="167" fontId="13" fillId="0" borderId="69" xfId="4" applyNumberFormat="1" applyFont="1" applyBorder="1" applyAlignment="1">
      <alignment horizontal="center" vertical="center"/>
    </xf>
    <xf numFmtId="4" fontId="19" fillId="0" borderId="16" xfId="4" applyNumberFormat="1" applyFont="1" applyBorder="1" applyAlignment="1">
      <alignment horizontal="center" vertical="center"/>
    </xf>
    <xf numFmtId="4" fontId="13" fillId="0" borderId="17" xfId="4" applyNumberFormat="1" applyFont="1" applyBorder="1" applyAlignment="1">
      <alignment horizontal="center" vertical="center"/>
    </xf>
    <xf numFmtId="4" fontId="13" fillId="0" borderId="18" xfId="4" applyNumberFormat="1" applyFont="1" applyBorder="1" applyAlignment="1">
      <alignment horizontal="center" vertical="center"/>
    </xf>
    <xf numFmtId="4" fontId="13" fillId="0" borderId="23" xfId="4" applyNumberFormat="1" applyFont="1" applyBorder="1" applyAlignment="1">
      <alignment horizontal="center" vertical="center"/>
    </xf>
    <xf numFmtId="4" fontId="13" fillId="0" borderId="13" xfId="4" applyNumberFormat="1" applyFont="1" applyBorder="1" applyAlignment="1">
      <alignment horizontal="center" vertical="center"/>
    </xf>
    <xf numFmtId="4" fontId="13" fillId="0" borderId="14" xfId="4" applyNumberFormat="1" applyFont="1" applyBorder="1" applyAlignment="1">
      <alignment horizontal="center" vertical="center"/>
    </xf>
    <xf numFmtId="4" fontId="13" fillId="0" borderId="15" xfId="4" applyNumberFormat="1" applyFont="1" applyBorder="1" applyAlignment="1">
      <alignment horizontal="center" vertical="center"/>
    </xf>
    <xf numFmtId="4" fontId="13" fillId="0" borderId="22" xfId="4" applyNumberFormat="1" applyFont="1" applyBorder="1" applyAlignment="1">
      <alignment horizontal="center" vertical="center"/>
    </xf>
    <xf numFmtId="4" fontId="13" fillId="0" borderId="66" xfId="4" applyNumberFormat="1" applyFont="1" applyBorder="1" applyAlignment="1">
      <alignment horizontal="center" vertical="center"/>
    </xf>
    <xf numFmtId="4" fontId="13" fillId="0" borderId="67" xfId="4" applyNumberFormat="1" applyFont="1" applyBorder="1" applyAlignment="1">
      <alignment horizontal="center" vertical="center"/>
    </xf>
    <xf numFmtId="4" fontId="13" fillId="0" borderId="68" xfId="4" applyNumberFormat="1" applyFont="1" applyBorder="1" applyAlignment="1">
      <alignment horizontal="center" vertical="center"/>
    </xf>
    <xf numFmtId="44" fontId="13" fillId="0" borderId="0" xfId="4" applyFont="1" applyBorder="1" applyAlignment="1">
      <alignment horizontal="center" vertical="center"/>
    </xf>
    <xf numFmtId="4" fontId="13" fillId="0" borderId="69" xfId="4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42" xfId="1" applyFont="1" applyBorder="1" applyAlignment="1">
      <alignment horizontal="right" vertical="center"/>
    </xf>
    <xf numFmtId="0" fontId="31" fillId="6" borderId="0" xfId="0" applyFont="1" applyFill="1" applyBorder="1"/>
    <xf numFmtId="0" fontId="33" fillId="6" borderId="0" xfId="1" applyFont="1" applyFill="1" applyBorder="1" applyAlignment="1">
      <alignment vertical="center"/>
    </xf>
    <xf numFmtId="0" fontId="32" fillId="6" borderId="0" xfId="1" applyFont="1" applyFill="1" applyBorder="1" applyAlignment="1">
      <alignment horizontal="center" vertical="center" wrapText="1"/>
    </xf>
    <xf numFmtId="165" fontId="33" fillId="6" borderId="0" xfId="2" applyNumberFormat="1" applyFont="1" applyFill="1" applyBorder="1" applyAlignment="1">
      <alignment vertical="center"/>
    </xf>
    <xf numFmtId="164" fontId="33" fillId="6" borderId="0" xfId="2" applyNumberFormat="1" applyFont="1" applyFill="1" applyBorder="1" applyAlignment="1">
      <alignment vertical="center"/>
    </xf>
    <xf numFmtId="0" fontId="16" fillId="5" borderId="15" xfId="1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3" fontId="13" fillId="0" borderId="16" xfId="1" applyNumberFormat="1" applyFont="1" applyBorder="1">
      <alignment vertical="top"/>
    </xf>
    <xf numFmtId="3" fontId="13" fillId="0" borderId="13" xfId="1" applyNumberFormat="1" applyFont="1" applyBorder="1">
      <alignment vertical="top"/>
    </xf>
    <xf numFmtId="3" fontId="13" fillId="0" borderId="14" xfId="1" applyNumberFormat="1" applyFont="1" applyBorder="1">
      <alignment vertical="top"/>
    </xf>
    <xf numFmtId="3" fontId="13" fillId="0" borderId="64" xfId="1" applyNumberFormat="1" applyFont="1" applyBorder="1">
      <alignment vertical="top"/>
    </xf>
    <xf numFmtId="3" fontId="13" fillId="0" borderId="61" xfId="1" applyNumberFormat="1" applyFont="1" applyBorder="1">
      <alignment vertical="top"/>
    </xf>
    <xf numFmtId="164" fontId="13" fillId="0" borderId="70" xfId="2" applyNumberFormat="1" applyFont="1" applyBorder="1">
      <alignment vertical="top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34" fillId="7" borderId="0" xfId="1" applyFont="1" applyFill="1" applyBorder="1" applyAlignment="1">
      <alignment horizontal="center" vertical="center" wrapText="1"/>
    </xf>
    <xf numFmtId="0" fontId="35" fillId="7" borderId="0" xfId="1" applyFont="1" applyFill="1" applyBorder="1" applyAlignment="1">
      <alignment horizontal="center" vertical="center"/>
    </xf>
    <xf numFmtId="164" fontId="35" fillId="7" borderId="0" xfId="2" applyNumberFormat="1" applyFont="1" applyFill="1" applyBorder="1" applyAlignment="1">
      <alignment horizontal="center" vertical="center"/>
    </xf>
    <xf numFmtId="43" fontId="35" fillId="7" borderId="0" xfId="2" applyFont="1" applyFill="1" applyBorder="1" applyAlignment="1">
      <alignment horizontal="center" vertical="center"/>
    </xf>
    <xf numFmtId="0" fontId="31" fillId="7" borderId="0" xfId="0" applyFont="1" applyFill="1" applyBorder="1"/>
    <xf numFmtId="44" fontId="13" fillId="0" borderId="16" xfId="7" applyFont="1" applyBorder="1" applyAlignment="1">
      <alignment horizontal="center" vertical="center"/>
    </xf>
    <xf numFmtId="44" fontId="13" fillId="0" borderId="17" xfId="7" applyFont="1" applyBorder="1" applyAlignment="1">
      <alignment horizontal="center" vertical="center"/>
    </xf>
    <xf numFmtId="44" fontId="13" fillId="0" borderId="18" xfId="7" applyFont="1" applyBorder="1" applyAlignment="1">
      <alignment horizontal="center" vertical="center"/>
    </xf>
    <xf numFmtId="0" fontId="13" fillId="0" borderId="7" xfId="1" applyFont="1" applyBorder="1" applyAlignment="1">
      <alignment horizontal="right"/>
    </xf>
    <xf numFmtId="44" fontId="13" fillId="0" borderId="16" xfId="7" applyFont="1" applyBorder="1" applyAlignment="1">
      <alignment horizontal="right"/>
    </xf>
    <xf numFmtId="44" fontId="13" fillId="0" borderId="17" xfId="7" applyFont="1" applyBorder="1" applyAlignment="1">
      <alignment horizontal="right"/>
    </xf>
    <xf numFmtId="44" fontId="13" fillId="0" borderId="18" xfId="7" applyFont="1" applyBorder="1" applyAlignment="1">
      <alignment horizontal="right"/>
    </xf>
    <xf numFmtId="44" fontId="13" fillId="0" borderId="36" xfId="7" applyFont="1" applyBorder="1" applyAlignment="1">
      <alignment horizontal="right"/>
    </xf>
    <xf numFmtId="44" fontId="13" fillId="0" borderId="23" xfId="7" applyFont="1" applyBorder="1" applyAlignment="1">
      <alignment horizontal="right"/>
    </xf>
    <xf numFmtId="44" fontId="13" fillId="0" borderId="22" xfId="7" applyFont="1" applyBorder="1" applyAlignment="1">
      <alignment horizontal="right"/>
    </xf>
    <xf numFmtId="0" fontId="13" fillId="0" borderId="0" xfId="1" applyFont="1" applyBorder="1" applyAlignment="1">
      <alignment horizontal="right"/>
    </xf>
    <xf numFmtId="2" fontId="13" fillId="0" borderId="13" xfId="7" applyNumberFormat="1" applyFont="1" applyBorder="1" applyAlignment="1">
      <alignment horizontal="right"/>
    </xf>
    <xf numFmtId="2" fontId="13" fillId="0" borderId="14" xfId="7" applyNumberFormat="1" applyFont="1" applyBorder="1" applyAlignment="1">
      <alignment horizontal="right"/>
    </xf>
    <xf numFmtId="2" fontId="13" fillId="0" borderId="15" xfId="7" applyNumberFormat="1" applyFont="1" applyBorder="1" applyAlignment="1">
      <alignment horizontal="right"/>
    </xf>
    <xf numFmtId="2" fontId="13" fillId="0" borderId="37" xfId="4" applyNumberFormat="1" applyFont="1" applyBorder="1" applyAlignment="1">
      <alignment horizontal="right"/>
    </xf>
    <xf numFmtId="2" fontId="13" fillId="0" borderId="22" xfId="4" applyNumberFormat="1" applyFont="1" applyBorder="1" applyAlignment="1">
      <alignment horizontal="right"/>
    </xf>
    <xf numFmtId="0" fontId="13" fillId="0" borderId="9" xfId="1" applyFont="1" applyBorder="1" applyAlignment="1">
      <alignment horizontal="right"/>
    </xf>
    <xf numFmtId="2" fontId="13" fillId="0" borderId="19" xfId="7" applyNumberFormat="1" applyFont="1" applyBorder="1" applyAlignment="1">
      <alignment horizontal="right"/>
    </xf>
    <xf numFmtId="2" fontId="13" fillId="0" borderId="20" xfId="7" applyNumberFormat="1" applyFont="1" applyBorder="1" applyAlignment="1">
      <alignment horizontal="right"/>
    </xf>
    <xf numFmtId="2" fontId="13" fillId="0" borderId="21" xfId="7" applyNumberFormat="1" applyFont="1" applyBorder="1" applyAlignment="1">
      <alignment horizontal="right"/>
    </xf>
    <xf numFmtId="2" fontId="13" fillId="0" borderId="38" xfId="4" applyNumberFormat="1" applyFont="1" applyBorder="1" applyAlignment="1">
      <alignment horizontal="right"/>
    </xf>
    <xf numFmtId="2" fontId="13" fillId="0" borderId="24" xfId="4" applyNumberFormat="1" applyFont="1" applyBorder="1" applyAlignment="1">
      <alignment horizontal="right"/>
    </xf>
    <xf numFmtId="43" fontId="36" fillId="0" borderId="11" xfId="3" applyNumberFormat="1" applyFont="1" applyBorder="1"/>
    <xf numFmtId="43" fontId="36" fillId="0" borderId="0" xfId="3" applyNumberFormat="1" applyFont="1" applyBorder="1"/>
    <xf numFmtId="2" fontId="36" fillId="0" borderId="42" xfId="5" applyNumberFormat="1" applyFont="1" applyBorder="1"/>
    <xf numFmtId="2" fontId="9" fillId="0" borderId="42" xfId="5" applyNumberFormat="1" applyFont="1" applyBorder="1"/>
    <xf numFmtId="2" fontId="36" fillId="0" borderId="53" xfId="5" applyNumberFormat="1" applyFont="1" applyBorder="1"/>
    <xf numFmtId="0" fontId="16" fillId="0" borderId="0" xfId="1" applyFont="1" applyAlignment="1">
      <alignment horizontal="center" vertical="top"/>
    </xf>
    <xf numFmtId="0" fontId="2" fillId="5" borderId="48" xfId="1" applyFont="1" applyFill="1" applyBorder="1" applyAlignment="1">
      <alignment horizontal="center"/>
    </xf>
    <xf numFmtId="0" fontId="2" fillId="5" borderId="41" xfId="1" applyFont="1" applyFill="1" applyBorder="1" applyAlignment="1">
      <alignment horizontal="center"/>
    </xf>
    <xf numFmtId="0" fontId="2" fillId="5" borderId="49" xfId="1" applyFont="1" applyFill="1" applyBorder="1" applyAlignment="1">
      <alignment horizontal="center"/>
    </xf>
    <xf numFmtId="0" fontId="29" fillId="5" borderId="4" xfId="1" applyFont="1" applyFill="1" applyBorder="1" applyAlignment="1">
      <alignment horizontal="center" vertical="center"/>
    </xf>
    <xf numFmtId="0" fontId="29" fillId="5" borderId="39" xfId="1" applyFont="1" applyFill="1" applyBorder="1" applyAlignment="1">
      <alignment horizontal="center" vertical="center"/>
    </xf>
    <xf numFmtId="0" fontId="29" fillId="5" borderId="13" xfId="1" applyFont="1" applyFill="1" applyBorder="1" applyAlignment="1">
      <alignment horizontal="center" vertical="center" wrapText="1"/>
    </xf>
    <xf numFmtId="0" fontId="29" fillId="5" borderId="14" xfId="1" applyFont="1" applyFill="1" applyBorder="1" applyAlignment="1">
      <alignment horizontal="center" vertical="center" wrapText="1"/>
    </xf>
    <xf numFmtId="0" fontId="29" fillId="5" borderId="15" xfId="1" applyFont="1" applyFill="1" applyBorder="1" applyAlignment="1">
      <alignment horizontal="center" vertical="center" wrapText="1"/>
    </xf>
    <xf numFmtId="0" fontId="29" fillId="5" borderId="2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2" fillId="6" borderId="0" xfId="1" applyFont="1" applyFill="1" applyBorder="1" applyAlignment="1">
      <alignment horizontal="center" vertical="center" wrapText="1"/>
    </xf>
    <xf numFmtId="0" fontId="32" fillId="6" borderId="0" xfId="1" applyFont="1" applyFill="1" applyBorder="1" applyAlignment="1">
      <alignment horizontal="center" vertical="center"/>
    </xf>
    <xf numFmtId="0" fontId="3" fillId="0" borderId="50" xfId="1" applyFill="1" applyBorder="1" applyAlignment="1">
      <alignment horizontal="center" wrapText="1"/>
    </xf>
    <xf numFmtId="0" fontId="3" fillId="0" borderId="51" xfId="1" applyFill="1" applyBorder="1" applyAlignment="1">
      <alignment horizontal="center"/>
    </xf>
    <xf numFmtId="0" fontId="3" fillId="0" borderId="43" xfId="1" applyFont="1" applyFill="1" applyBorder="1" applyAlignment="1">
      <alignment horizontal="center"/>
    </xf>
    <xf numFmtId="0" fontId="3" fillId="0" borderId="44" xfId="1" applyFill="1" applyBorder="1" applyAlignment="1">
      <alignment horizontal="center"/>
    </xf>
    <xf numFmtId="0" fontId="3" fillId="0" borderId="45" xfId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0" borderId="47" xfId="1" applyFill="1" applyBorder="1" applyAlignment="1">
      <alignment horizontal="center"/>
    </xf>
    <xf numFmtId="0" fontId="29" fillId="5" borderId="1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3" fillId="5" borderId="0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5" borderId="12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6" fillId="5" borderId="21" xfId="1" applyFont="1" applyFill="1" applyBorder="1" applyAlignment="1">
      <alignment horizontal="center" vertical="center" wrapText="1"/>
    </xf>
    <xf numFmtId="0" fontId="16" fillId="5" borderId="22" xfId="1" applyFont="1" applyFill="1" applyBorder="1" applyAlignment="1">
      <alignment horizontal="center" vertical="center" wrapText="1"/>
    </xf>
    <xf numFmtId="0" fontId="16" fillId="5" borderId="24" xfId="1" applyFont="1" applyFill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/>
    </xf>
    <xf numFmtId="0" fontId="16" fillId="5" borderId="39" xfId="1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wrapText="1"/>
    </xf>
    <xf numFmtId="0" fontId="34" fillId="7" borderId="0" xfId="0" applyFont="1" applyFill="1" applyBorder="1" applyAlignment="1">
      <alignment horizontal="center"/>
    </xf>
    <xf numFmtId="0" fontId="34" fillId="7" borderId="0" xfId="1" applyFont="1" applyFill="1" applyBorder="1" applyAlignment="1">
      <alignment horizontal="center" vertical="center" wrapText="1"/>
    </xf>
    <xf numFmtId="0" fontId="34" fillId="7" borderId="0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13" fillId="5" borderId="66" xfId="1" applyFont="1" applyFill="1" applyBorder="1" applyAlignment="1">
      <alignment horizontal="center" vertical="center" wrapText="1"/>
    </xf>
    <xf numFmtId="0" fontId="13" fillId="5" borderId="67" xfId="1" applyFont="1" applyFill="1" applyBorder="1" applyAlignment="1">
      <alignment horizontal="center" vertical="center" wrapText="1"/>
    </xf>
    <xf numFmtId="0" fontId="13" fillId="5" borderId="68" xfId="1" applyFont="1" applyFill="1" applyBorder="1" applyAlignment="1">
      <alignment horizontal="center" vertical="center" wrapText="1"/>
    </xf>
    <xf numFmtId="0" fontId="13" fillId="5" borderId="42" xfId="1" applyFont="1" applyFill="1" applyBorder="1" applyAlignment="1">
      <alignment horizontal="center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16" fillId="5" borderId="4" xfId="1" applyFont="1" applyFill="1" applyBorder="1" applyAlignment="1">
      <alignment horizontal="center" vertical="center" wrapText="1"/>
    </xf>
    <xf numFmtId="0" fontId="16" fillId="5" borderId="39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/>
    </xf>
    <xf numFmtId="0" fontId="16" fillId="6" borderId="39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3" fillId="5" borderId="55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15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2" fillId="5" borderId="0" xfId="1" applyFont="1" applyFill="1" applyBorder="1" applyAlignment="1">
      <alignment horizontal="center" vertical="center"/>
    </xf>
    <xf numFmtId="0" fontId="21" fillId="5" borderId="0" xfId="1" applyFont="1" applyFill="1" applyBorder="1" applyAlignment="1">
      <alignment horizontal="center" vertical="center"/>
    </xf>
    <xf numFmtId="0" fontId="29" fillId="5" borderId="57" xfId="0" applyFont="1" applyFill="1" applyBorder="1" applyAlignment="1">
      <alignment horizontal="right" vertical="center"/>
    </xf>
    <xf numFmtId="0" fontId="26" fillId="5" borderId="41" xfId="0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8" fillId="5" borderId="56" xfId="0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right" vertical="center"/>
    </xf>
  </cellXfs>
  <cellStyles count="12">
    <cellStyle name="Millares 2" xfId="2"/>
    <cellStyle name="Millares 2 2" xfId="8"/>
    <cellStyle name="Millares_Datos basicos Tijuana-Rosarito" xfId="3"/>
    <cellStyle name="Moneda" xfId="7" builtinId="4"/>
    <cellStyle name="Moneda 2" xfId="4"/>
    <cellStyle name="Moneda 2 2" xfId="9"/>
    <cellStyle name="Moneda 3" xfId="11"/>
    <cellStyle name="Normal" xfId="0" builtinId="0"/>
    <cellStyle name="Normal 2" xfId="5"/>
    <cellStyle name="Normal 3" xfId="1"/>
    <cellStyle name="Porcentaje 2" xfId="6"/>
    <cellStyle name="Porcentaje 2 2" xfId="1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zoomScale="80" zoomScaleNormal="80" workbookViewId="0">
      <selection activeCell="E39" sqref="E39"/>
    </sheetView>
  </sheetViews>
  <sheetFormatPr baseColWidth="10" defaultRowHeight="15" x14ac:dyDescent="0.25"/>
  <cols>
    <col min="1" max="1" width="5.42578125" bestFit="1" customWidth="1"/>
    <col min="2" max="2" width="9.42578125" customWidth="1"/>
    <col min="3" max="3" width="8.5703125" customWidth="1"/>
    <col min="4" max="5" width="6.5703125" customWidth="1"/>
    <col min="6" max="6" width="7.85546875" bestFit="1" customWidth="1"/>
    <col min="7" max="7" width="6.5703125" customWidth="1"/>
    <col min="8" max="8" width="7.140625" customWidth="1"/>
    <col min="10" max="11" width="0" hidden="1" customWidth="1"/>
    <col min="13" max="18" width="0" style="245" hidden="1" customWidth="1"/>
    <col min="19" max="19" width="13.7109375" style="245" hidden="1" customWidth="1"/>
    <col min="20" max="21" width="0" style="245" hidden="1" customWidth="1"/>
  </cols>
  <sheetData>
    <row r="1" spans="1:25" x14ac:dyDescent="0.25">
      <c r="A1" s="72" t="s">
        <v>0</v>
      </c>
      <c r="B1" s="73">
        <v>0.03</v>
      </c>
      <c r="C1" s="46"/>
      <c r="D1" s="46"/>
      <c r="E1" s="46"/>
      <c r="F1" s="46"/>
      <c r="G1" s="46"/>
      <c r="H1" s="46"/>
      <c r="I1" s="46"/>
    </row>
    <row r="3" spans="1:25" x14ac:dyDescent="0.25">
      <c r="A3" s="293" t="s">
        <v>94</v>
      </c>
      <c r="B3" s="293"/>
      <c r="C3" s="293"/>
      <c r="D3" s="293"/>
      <c r="E3" s="293"/>
      <c r="F3" s="293"/>
      <c r="G3" s="293"/>
      <c r="H3" s="293"/>
      <c r="I3" s="46"/>
    </row>
    <row r="4" spans="1:25" ht="26.1" customHeight="1" x14ac:dyDescent="0.25">
      <c r="A4" s="297" t="s">
        <v>1</v>
      </c>
      <c r="B4" s="313" t="s">
        <v>2</v>
      </c>
      <c r="C4" s="299" t="s">
        <v>62</v>
      </c>
      <c r="D4" s="300"/>
      <c r="E4" s="301"/>
      <c r="F4" s="299" t="s">
        <v>63</v>
      </c>
      <c r="G4" s="300"/>
      <c r="H4" s="302"/>
      <c r="I4" s="46"/>
      <c r="J4" s="15"/>
      <c r="K4" s="15"/>
      <c r="M4" s="305" t="s">
        <v>1</v>
      </c>
      <c r="N4" s="305"/>
      <c r="O4" s="304" t="s">
        <v>91</v>
      </c>
      <c r="P4" s="304"/>
      <c r="Q4" s="304"/>
      <c r="R4" s="304"/>
      <c r="S4" s="304"/>
    </row>
    <row r="5" spans="1:25" ht="15.75" thickBot="1" x14ac:dyDescent="0.3">
      <c r="A5" s="298"/>
      <c r="B5" s="313"/>
      <c r="C5" s="144" t="s">
        <v>5</v>
      </c>
      <c r="D5" s="145" t="s">
        <v>6</v>
      </c>
      <c r="E5" s="146" t="s">
        <v>7</v>
      </c>
      <c r="F5" s="144" t="s">
        <v>5</v>
      </c>
      <c r="G5" s="145" t="s">
        <v>6</v>
      </c>
      <c r="H5" s="147" t="s">
        <v>7</v>
      </c>
      <c r="I5" s="46"/>
      <c r="M5" s="305"/>
      <c r="N5" s="305"/>
      <c r="O5" s="247" t="s">
        <v>5</v>
      </c>
      <c r="P5" s="247" t="s">
        <v>6</v>
      </c>
      <c r="Q5" s="247" t="s">
        <v>7</v>
      </c>
      <c r="R5" s="247" t="s">
        <v>61</v>
      </c>
      <c r="S5" s="247" t="s">
        <v>92</v>
      </c>
    </row>
    <row r="6" spans="1:25" ht="15.75" thickTop="1" x14ac:dyDescent="0.25">
      <c r="A6" s="48">
        <v>2019</v>
      </c>
      <c r="B6" s="52">
        <f>SUM(C6:H6)</f>
        <v>704.41700000000003</v>
      </c>
      <c r="C6" s="52">
        <f>470.71*0.7</f>
        <v>329.49699999999996</v>
      </c>
      <c r="D6" s="53">
        <f>2.06*0.7</f>
        <v>1.4419999999999999</v>
      </c>
      <c r="E6" s="54">
        <f>20.6*0.7</f>
        <v>14.42</v>
      </c>
      <c r="F6" s="52">
        <f>488.22*0.7</f>
        <v>341.75400000000002</v>
      </c>
      <c r="G6" s="53">
        <f>2.06*0.7</f>
        <v>1.4419999999999999</v>
      </c>
      <c r="H6" s="53">
        <f>22.66*0.7</f>
        <v>15.861999999999998</v>
      </c>
      <c r="I6" s="76"/>
      <c r="J6" s="164">
        <f>SUM(C6:E6)</f>
        <v>345.35899999999998</v>
      </c>
      <c r="K6" s="164">
        <f>SUM(F6:H6)</f>
        <v>359.05800000000005</v>
      </c>
      <c r="M6" s="248">
        <v>0</v>
      </c>
      <c r="N6" s="248">
        <v>2019</v>
      </c>
      <c r="O6" s="249">
        <v>470.71</v>
      </c>
      <c r="P6" s="249">
        <v>2.06</v>
      </c>
      <c r="Q6" s="249">
        <v>20.6</v>
      </c>
      <c r="R6" s="249">
        <f>B6</f>
        <v>704.41700000000003</v>
      </c>
      <c r="S6" s="249">
        <f>R6*365</f>
        <v>257112.20500000002</v>
      </c>
      <c r="W6" s="164"/>
      <c r="X6" s="164"/>
      <c r="Y6" s="164"/>
    </row>
    <row r="7" spans="1:25" x14ac:dyDescent="0.25">
      <c r="A7" s="48">
        <v>2020</v>
      </c>
      <c r="B7" s="50">
        <f t="shared" ref="B7:B21" si="0">SUM(C7:H7)</f>
        <v>725.54951000000005</v>
      </c>
      <c r="C7" s="55">
        <f>C6*(1+$B$1)</f>
        <v>339.38190999999995</v>
      </c>
      <c r="D7" s="56">
        <f t="shared" ref="D7:D21" si="1">D6*(1+$B$1)</f>
        <v>1.48526</v>
      </c>
      <c r="E7" s="57">
        <f t="shared" ref="E7:E21" si="2">E6*(1+$B$1)</f>
        <v>14.852600000000001</v>
      </c>
      <c r="F7" s="55">
        <f t="shared" ref="F7:F21" si="3">F6*(1+$B$1)</f>
        <v>352.00662000000005</v>
      </c>
      <c r="G7" s="56">
        <f t="shared" ref="G7:G21" si="4">G6*(1+$B$1)</f>
        <v>1.48526</v>
      </c>
      <c r="H7" s="62">
        <f t="shared" ref="H7:H21" si="5">H6*(1+$B$1)</f>
        <v>16.337859999999999</v>
      </c>
      <c r="I7" s="46"/>
      <c r="J7" s="164">
        <f t="shared" ref="J7:J21" si="6">SUM(C7:E7)</f>
        <v>355.71976999999993</v>
      </c>
      <c r="K7" s="164">
        <f t="shared" ref="K7:K21" si="7">SUM(F7:H7)</f>
        <v>369.82974000000002</v>
      </c>
      <c r="M7" s="249">
        <v>1</v>
      </c>
      <c r="N7" s="246">
        <v>2020</v>
      </c>
      <c r="O7" s="249">
        <f>O6*(1+$B$1)</f>
        <v>484.8313</v>
      </c>
      <c r="P7" s="249">
        <f t="shared" ref="P7:Q21" si="8">P6*(1+$B$1)</f>
        <v>2.1217999999999999</v>
      </c>
      <c r="Q7" s="249">
        <f t="shared" si="8"/>
        <v>21.218000000000004</v>
      </c>
      <c r="R7" s="249">
        <f t="shared" ref="R7:R21" si="9">B7</f>
        <v>725.54951000000005</v>
      </c>
      <c r="S7" s="249">
        <f t="shared" ref="S7:S21" si="10">R7*365</f>
        <v>264825.57115000003</v>
      </c>
      <c r="W7" s="164"/>
      <c r="X7" s="164"/>
      <c r="Y7" s="164"/>
    </row>
    <row r="8" spans="1:25" x14ac:dyDescent="0.25">
      <c r="A8" s="48">
        <v>2021</v>
      </c>
      <c r="B8" s="50">
        <f t="shared" si="0"/>
        <v>747.31599530000017</v>
      </c>
      <c r="C8" s="55">
        <f t="shared" ref="C8:C21" si="11">C7*(1+$B$1)</f>
        <v>349.56336729999998</v>
      </c>
      <c r="D8" s="56">
        <f t="shared" si="1"/>
        <v>1.5298178</v>
      </c>
      <c r="E8" s="57">
        <f t="shared" si="2"/>
        <v>15.298178000000002</v>
      </c>
      <c r="F8" s="55">
        <f t="shared" si="3"/>
        <v>362.56681860000009</v>
      </c>
      <c r="G8" s="56">
        <f t="shared" si="4"/>
        <v>1.5298178</v>
      </c>
      <c r="H8" s="62">
        <f t="shared" si="5"/>
        <v>16.8279958</v>
      </c>
      <c r="I8" s="46"/>
      <c r="J8" s="164">
        <f t="shared" si="6"/>
        <v>366.39136309999998</v>
      </c>
      <c r="K8" s="164">
        <f t="shared" si="7"/>
        <v>380.92463220000008</v>
      </c>
      <c r="M8" s="249">
        <v>2</v>
      </c>
      <c r="N8" s="246">
        <v>2021</v>
      </c>
      <c r="O8" s="249">
        <f t="shared" ref="O8:O21" si="12">O7*(1+$B$1)</f>
        <v>499.376239</v>
      </c>
      <c r="P8" s="249">
        <f t="shared" si="8"/>
        <v>2.185454</v>
      </c>
      <c r="Q8" s="249">
        <f t="shared" si="8"/>
        <v>21.854540000000004</v>
      </c>
      <c r="R8" s="249">
        <f t="shared" si="9"/>
        <v>747.31599530000017</v>
      </c>
      <c r="S8" s="249">
        <f t="shared" si="10"/>
        <v>272770.33828450006</v>
      </c>
      <c r="W8" s="164"/>
      <c r="X8" s="164"/>
      <c r="Y8" s="164"/>
    </row>
    <row r="9" spans="1:25" x14ac:dyDescent="0.25">
      <c r="A9" s="48">
        <v>2022</v>
      </c>
      <c r="B9" s="50">
        <f t="shared" si="0"/>
        <v>769.73547515899998</v>
      </c>
      <c r="C9" s="55">
        <f t="shared" si="11"/>
        <v>360.050268319</v>
      </c>
      <c r="D9" s="56">
        <f t="shared" si="1"/>
        <v>1.5757123340000001</v>
      </c>
      <c r="E9" s="57">
        <f t="shared" si="2"/>
        <v>15.757123340000001</v>
      </c>
      <c r="F9" s="55">
        <f t="shared" si="3"/>
        <v>373.4438231580001</v>
      </c>
      <c r="G9" s="56">
        <f t="shared" si="4"/>
        <v>1.5757123340000001</v>
      </c>
      <c r="H9" s="62">
        <f t="shared" si="5"/>
        <v>17.332835674000002</v>
      </c>
      <c r="I9" s="46"/>
      <c r="J9" s="164">
        <f t="shared" si="6"/>
        <v>377.38310399300002</v>
      </c>
      <c r="K9" s="164">
        <f t="shared" si="7"/>
        <v>392.35237116600013</v>
      </c>
      <c r="M9" s="249">
        <v>3</v>
      </c>
      <c r="N9" s="246">
        <v>2022</v>
      </c>
      <c r="O9" s="249">
        <f t="shared" si="12"/>
        <v>514.35752617000003</v>
      </c>
      <c r="P9" s="249">
        <f t="shared" si="8"/>
        <v>2.2510176200000003</v>
      </c>
      <c r="Q9" s="249">
        <f t="shared" si="8"/>
        <v>22.510176200000004</v>
      </c>
      <c r="R9" s="249">
        <f t="shared" si="9"/>
        <v>769.73547515899998</v>
      </c>
      <c r="S9" s="249">
        <f t="shared" si="10"/>
        <v>280953.448433035</v>
      </c>
      <c r="W9" s="164"/>
      <c r="X9" s="164"/>
      <c r="Y9" s="164"/>
    </row>
    <row r="10" spans="1:25" x14ac:dyDescent="0.25">
      <c r="A10" s="48">
        <v>2023</v>
      </c>
      <c r="B10" s="50">
        <f t="shared" si="0"/>
        <v>792.82753941377018</v>
      </c>
      <c r="C10" s="55">
        <f t="shared" si="11"/>
        <v>370.85177636857003</v>
      </c>
      <c r="D10" s="56">
        <f t="shared" si="1"/>
        <v>1.6229837040200001</v>
      </c>
      <c r="E10" s="57">
        <f t="shared" si="2"/>
        <v>16.229837040200003</v>
      </c>
      <c r="F10" s="55">
        <f t="shared" si="3"/>
        <v>384.64713785274012</v>
      </c>
      <c r="G10" s="56">
        <f t="shared" si="4"/>
        <v>1.6229837040200001</v>
      </c>
      <c r="H10" s="62">
        <f t="shared" si="5"/>
        <v>17.852820744220001</v>
      </c>
      <c r="I10" s="46"/>
      <c r="J10" s="164">
        <f t="shared" si="6"/>
        <v>388.70459711279</v>
      </c>
      <c r="K10" s="164">
        <f t="shared" si="7"/>
        <v>404.12294230098013</v>
      </c>
      <c r="M10" s="249">
        <v>4</v>
      </c>
      <c r="N10" s="246">
        <v>2023</v>
      </c>
      <c r="O10" s="249">
        <f t="shared" si="12"/>
        <v>529.78825195510001</v>
      </c>
      <c r="P10" s="249">
        <f t="shared" si="8"/>
        <v>2.3185481486000001</v>
      </c>
      <c r="Q10" s="249">
        <f t="shared" si="8"/>
        <v>23.185481486000004</v>
      </c>
      <c r="R10" s="249">
        <f t="shared" si="9"/>
        <v>792.82753941377018</v>
      </c>
      <c r="S10" s="249">
        <f t="shared" si="10"/>
        <v>289382.05188602611</v>
      </c>
      <c r="W10" s="164"/>
      <c r="X10" s="164"/>
      <c r="Y10" s="164"/>
    </row>
    <row r="11" spans="1:25" x14ac:dyDescent="0.25">
      <c r="A11" s="48">
        <v>2024</v>
      </c>
      <c r="B11" s="50">
        <f t="shared" si="0"/>
        <v>816.61236559618317</v>
      </c>
      <c r="C11" s="55">
        <f t="shared" si="11"/>
        <v>381.97732965962712</v>
      </c>
      <c r="D11" s="56">
        <f t="shared" si="1"/>
        <v>1.6716732151406002</v>
      </c>
      <c r="E11" s="57">
        <f t="shared" si="2"/>
        <v>16.716732151406003</v>
      </c>
      <c r="F11" s="55">
        <f t="shared" si="3"/>
        <v>396.18655198832232</v>
      </c>
      <c r="G11" s="56">
        <f t="shared" si="4"/>
        <v>1.6716732151406002</v>
      </c>
      <c r="H11" s="62">
        <f t="shared" si="5"/>
        <v>18.3884053665466</v>
      </c>
      <c r="I11" s="46"/>
      <c r="J11" s="164">
        <f t="shared" si="6"/>
        <v>400.3657350261737</v>
      </c>
      <c r="K11" s="164">
        <f t="shared" si="7"/>
        <v>416.24663057000947</v>
      </c>
      <c r="M11" s="249">
        <v>5</v>
      </c>
      <c r="N11" s="246">
        <v>2024</v>
      </c>
      <c r="O11" s="249">
        <f t="shared" si="12"/>
        <v>545.68189951375302</v>
      </c>
      <c r="P11" s="249">
        <f t="shared" si="8"/>
        <v>2.3881045930580003</v>
      </c>
      <c r="Q11" s="249">
        <f t="shared" si="8"/>
        <v>23.881045930580004</v>
      </c>
      <c r="R11" s="249">
        <f t="shared" si="9"/>
        <v>816.61236559618317</v>
      </c>
      <c r="S11" s="249">
        <f t="shared" si="10"/>
        <v>298063.51344260684</v>
      </c>
      <c r="W11" s="164"/>
      <c r="X11" s="164"/>
      <c r="Y11" s="164"/>
    </row>
    <row r="12" spans="1:25" x14ac:dyDescent="0.25">
      <c r="A12" s="48">
        <v>2025</v>
      </c>
      <c r="B12" s="50">
        <f t="shared" si="0"/>
        <v>841.11073656406882</v>
      </c>
      <c r="C12" s="55">
        <f t="shared" si="11"/>
        <v>393.43664954941596</v>
      </c>
      <c r="D12" s="56">
        <f t="shared" si="1"/>
        <v>1.7218234115948183</v>
      </c>
      <c r="E12" s="57">
        <f t="shared" si="2"/>
        <v>17.218234115948182</v>
      </c>
      <c r="F12" s="55">
        <f t="shared" si="3"/>
        <v>408.07214854797201</v>
      </c>
      <c r="G12" s="56">
        <f t="shared" si="4"/>
        <v>1.7218234115948183</v>
      </c>
      <c r="H12" s="62">
        <f t="shared" si="5"/>
        <v>18.940057527542997</v>
      </c>
      <c r="I12" s="46"/>
      <c r="J12" s="164">
        <f t="shared" si="6"/>
        <v>412.37670707695895</v>
      </c>
      <c r="K12" s="164">
        <f t="shared" si="7"/>
        <v>428.73402948710981</v>
      </c>
      <c r="M12" s="249">
        <v>6</v>
      </c>
      <c r="N12" s="246">
        <v>2025</v>
      </c>
      <c r="O12" s="249">
        <f t="shared" si="12"/>
        <v>562.05235649916563</v>
      </c>
      <c r="P12" s="249">
        <f t="shared" si="8"/>
        <v>2.4597477308497404</v>
      </c>
      <c r="Q12" s="249">
        <f t="shared" si="8"/>
        <v>24.597477308497407</v>
      </c>
      <c r="R12" s="249">
        <f t="shared" si="9"/>
        <v>841.11073656406882</v>
      </c>
      <c r="S12" s="249">
        <f t="shared" si="10"/>
        <v>307005.41884588514</v>
      </c>
      <c r="W12" s="164"/>
      <c r="X12" s="164"/>
      <c r="Y12" s="164"/>
    </row>
    <row r="13" spans="1:25" x14ac:dyDescent="0.25">
      <c r="A13" s="48">
        <v>2026</v>
      </c>
      <c r="B13" s="50">
        <f t="shared" si="0"/>
        <v>866.34405866099087</v>
      </c>
      <c r="C13" s="55">
        <f t="shared" si="11"/>
        <v>405.23974903589846</v>
      </c>
      <c r="D13" s="56">
        <f t="shared" si="1"/>
        <v>1.773478113942663</v>
      </c>
      <c r="E13" s="57">
        <f t="shared" si="2"/>
        <v>17.734781139426627</v>
      </c>
      <c r="F13" s="55">
        <f t="shared" si="3"/>
        <v>420.31431300441119</v>
      </c>
      <c r="G13" s="56">
        <f t="shared" si="4"/>
        <v>1.773478113942663</v>
      </c>
      <c r="H13" s="62">
        <f t="shared" si="5"/>
        <v>19.508259253369289</v>
      </c>
      <c r="I13" s="46"/>
      <c r="J13" s="164">
        <f t="shared" si="6"/>
        <v>424.74800828926772</v>
      </c>
      <c r="K13" s="164">
        <f t="shared" si="7"/>
        <v>441.59605037172309</v>
      </c>
      <c r="M13" s="249">
        <v>7</v>
      </c>
      <c r="N13" s="246">
        <v>2026</v>
      </c>
      <c r="O13" s="249">
        <f t="shared" si="12"/>
        <v>578.91392719414057</v>
      </c>
      <c r="P13" s="249">
        <f t="shared" si="8"/>
        <v>2.5335401627752328</v>
      </c>
      <c r="Q13" s="249">
        <f t="shared" si="8"/>
        <v>25.335401627752329</v>
      </c>
      <c r="R13" s="249">
        <f t="shared" si="9"/>
        <v>866.34405866099087</v>
      </c>
      <c r="S13" s="249">
        <f t="shared" si="10"/>
        <v>316215.58141126169</v>
      </c>
      <c r="W13" s="164"/>
      <c r="X13" s="164"/>
      <c r="Y13" s="164"/>
    </row>
    <row r="14" spans="1:25" x14ac:dyDescent="0.25">
      <c r="A14" s="48">
        <v>2027</v>
      </c>
      <c r="B14" s="50">
        <f t="shared" si="0"/>
        <v>892.33438042082059</v>
      </c>
      <c r="C14" s="55">
        <f t="shared" si="11"/>
        <v>417.39694150697539</v>
      </c>
      <c r="D14" s="56">
        <f t="shared" si="1"/>
        <v>1.8266824573609428</v>
      </c>
      <c r="E14" s="57">
        <f t="shared" si="2"/>
        <v>18.266824573609426</v>
      </c>
      <c r="F14" s="55">
        <f t="shared" si="3"/>
        <v>432.92374239454352</v>
      </c>
      <c r="G14" s="56">
        <f t="shared" si="4"/>
        <v>1.8266824573609428</v>
      </c>
      <c r="H14" s="62">
        <f t="shared" si="5"/>
        <v>20.093507030970368</v>
      </c>
      <c r="I14" s="46"/>
      <c r="J14" s="164">
        <f t="shared" si="6"/>
        <v>437.49044853794578</v>
      </c>
      <c r="K14" s="164">
        <f t="shared" si="7"/>
        <v>454.84393188287487</v>
      </c>
      <c r="M14" s="249">
        <v>8</v>
      </c>
      <c r="N14" s="246">
        <v>2027</v>
      </c>
      <c r="O14" s="249">
        <f t="shared" si="12"/>
        <v>596.28134500996475</v>
      </c>
      <c r="P14" s="249">
        <f t="shared" si="8"/>
        <v>2.6095463676584898</v>
      </c>
      <c r="Q14" s="249">
        <f t="shared" si="8"/>
        <v>26.095463676584899</v>
      </c>
      <c r="R14" s="249">
        <f t="shared" si="9"/>
        <v>892.33438042082059</v>
      </c>
      <c r="S14" s="249">
        <f t="shared" si="10"/>
        <v>325702.04885359952</v>
      </c>
      <c r="W14" s="164"/>
      <c r="X14" s="164"/>
      <c r="Y14" s="164"/>
    </row>
    <row r="15" spans="1:25" x14ac:dyDescent="0.25">
      <c r="A15" s="48">
        <v>2028</v>
      </c>
      <c r="B15" s="50">
        <f t="shared" si="0"/>
        <v>919.10441183344528</v>
      </c>
      <c r="C15" s="55">
        <f t="shared" si="11"/>
        <v>429.91884975218466</v>
      </c>
      <c r="D15" s="56">
        <f t="shared" si="1"/>
        <v>1.8814829310817711</v>
      </c>
      <c r="E15" s="57">
        <f t="shared" si="2"/>
        <v>18.814829310817711</v>
      </c>
      <c r="F15" s="55">
        <f t="shared" si="3"/>
        <v>445.91145466637983</v>
      </c>
      <c r="G15" s="56">
        <f t="shared" si="4"/>
        <v>1.8814829310817711</v>
      </c>
      <c r="H15" s="62">
        <f t="shared" si="5"/>
        <v>20.696312241899481</v>
      </c>
      <c r="I15" s="46"/>
      <c r="J15" s="164">
        <f t="shared" si="6"/>
        <v>450.61516199408413</v>
      </c>
      <c r="K15" s="164">
        <f t="shared" si="7"/>
        <v>468.48924983936109</v>
      </c>
      <c r="M15" s="249">
        <v>9</v>
      </c>
      <c r="N15" s="246">
        <v>2028</v>
      </c>
      <c r="O15" s="249">
        <f t="shared" si="12"/>
        <v>614.16978536026375</v>
      </c>
      <c r="P15" s="249">
        <f t="shared" si="8"/>
        <v>2.6878327586882444</v>
      </c>
      <c r="Q15" s="249">
        <f t="shared" si="8"/>
        <v>26.878327586882445</v>
      </c>
      <c r="R15" s="249">
        <f t="shared" si="9"/>
        <v>919.10441183344528</v>
      </c>
      <c r="S15" s="249">
        <f t="shared" si="10"/>
        <v>335473.11031920754</v>
      </c>
      <c r="W15" s="164"/>
      <c r="X15" s="164"/>
      <c r="Y15" s="164"/>
    </row>
    <row r="16" spans="1:25" x14ac:dyDescent="0.25">
      <c r="A16" s="48">
        <v>2029</v>
      </c>
      <c r="B16" s="50">
        <f t="shared" si="0"/>
        <v>946.67754418844868</v>
      </c>
      <c r="C16" s="55">
        <f t="shared" si="11"/>
        <v>442.8164152447502</v>
      </c>
      <c r="D16" s="56">
        <f t="shared" si="1"/>
        <v>1.9379274190142244</v>
      </c>
      <c r="E16" s="57">
        <f t="shared" si="2"/>
        <v>19.379274190142244</v>
      </c>
      <c r="F16" s="55">
        <f t="shared" si="3"/>
        <v>459.28879830637123</v>
      </c>
      <c r="G16" s="56">
        <f t="shared" si="4"/>
        <v>1.9379274190142244</v>
      </c>
      <c r="H16" s="62">
        <f t="shared" si="5"/>
        <v>21.317201609156466</v>
      </c>
      <c r="I16" s="46"/>
      <c r="J16" s="164">
        <f t="shared" si="6"/>
        <v>464.13361685390669</v>
      </c>
      <c r="K16" s="164">
        <f t="shared" si="7"/>
        <v>482.54392733454193</v>
      </c>
      <c r="M16" s="249">
        <v>10</v>
      </c>
      <c r="N16" s="246">
        <v>2029</v>
      </c>
      <c r="O16" s="249">
        <f t="shared" si="12"/>
        <v>632.59487892107165</v>
      </c>
      <c r="P16" s="249">
        <f t="shared" si="8"/>
        <v>2.7684677414488919</v>
      </c>
      <c r="Q16" s="249">
        <f t="shared" si="8"/>
        <v>27.68467741448892</v>
      </c>
      <c r="R16" s="249">
        <f t="shared" si="9"/>
        <v>946.67754418844868</v>
      </c>
      <c r="S16" s="249">
        <f t="shared" si="10"/>
        <v>345537.30362878379</v>
      </c>
      <c r="W16" s="164"/>
      <c r="X16" s="164"/>
      <c r="Y16" s="164"/>
    </row>
    <row r="17" spans="1:25" x14ac:dyDescent="0.25">
      <c r="A17" s="48">
        <v>2030</v>
      </c>
      <c r="B17" s="50">
        <f t="shared" si="0"/>
        <v>975.07787051410196</v>
      </c>
      <c r="C17" s="55">
        <f t="shared" si="11"/>
        <v>456.10090770209274</v>
      </c>
      <c r="D17" s="56">
        <f t="shared" si="1"/>
        <v>1.9960652415846512</v>
      </c>
      <c r="E17" s="57">
        <f t="shared" si="2"/>
        <v>19.960652415846511</v>
      </c>
      <c r="F17" s="55">
        <f t="shared" si="3"/>
        <v>473.06746225556236</v>
      </c>
      <c r="G17" s="56">
        <f t="shared" si="4"/>
        <v>1.9960652415846512</v>
      </c>
      <c r="H17" s="62">
        <f t="shared" si="5"/>
        <v>21.95671765743116</v>
      </c>
      <c r="I17" s="46"/>
      <c r="J17" s="164">
        <f t="shared" si="6"/>
        <v>478.05762535952385</v>
      </c>
      <c r="K17" s="164">
        <f t="shared" si="7"/>
        <v>497.02024515457816</v>
      </c>
      <c r="M17" s="249">
        <v>11</v>
      </c>
      <c r="N17" s="246">
        <v>2030</v>
      </c>
      <c r="O17" s="249">
        <f t="shared" si="12"/>
        <v>651.57272528870385</v>
      </c>
      <c r="P17" s="249">
        <f t="shared" si="8"/>
        <v>2.8515217736923586</v>
      </c>
      <c r="Q17" s="249">
        <f t="shared" si="8"/>
        <v>28.515217736923589</v>
      </c>
      <c r="R17" s="249">
        <f t="shared" si="9"/>
        <v>975.07787051410196</v>
      </c>
      <c r="S17" s="249">
        <f t="shared" si="10"/>
        <v>355903.4227376472</v>
      </c>
      <c r="W17" s="164"/>
      <c r="X17" s="164"/>
      <c r="Y17" s="164"/>
    </row>
    <row r="18" spans="1:25" x14ac:dyDescent="0.25">
      <c r="A18" s="48">
        <v>2031</v>
      </c>
      <c r="B18" s="50">
        <f t="shared" si="0"/>
        <v>1004.3302066295252</v>
      </c>
      <c r="C18" s="55">
        <f t="shared" si="11"/>
        <v>469.78393493315554</v>
      </c>
      <c r="D18" s="56">
        <f t="shared" si="1"/>
        <v>2.0559471988321909</v>
      </c>
      <c r="E18" s="57">
        <f t="shared" si="2"/>
        <v>20.559471988321906</v>
      </c>
      <c r="F18" s="55">
        <f t="shared" si="3"/>
        <v>487.25948612322924</v>
      </c>
      <c r="G18" s="56">
        <f t="shared" si="4"/>
        <v>2.0559471988321909</v>
      </c>
      <c r="H18" s="62">
        <f t="shared" si="5"/>
        <v>22.615419187154096</v>
      </c>
      <c r="I18" s="46"/>
      <c r="J18" s="164">
        <f t="shared" si="6"/>
        <v>492.39935412030962</v>
      </c>
      <c r="K18" s="164">
        <f t="shared" si="7"/>
        <v>511.93085250921553</v>
      </c>
      <c r="M18" s="249">
        <v>12</v>
      </c>
      <c r="N18" s="246">
        <v>2031</v>
      </c>
      <c r="O18" s="249">
        <f t="shared" si="12"/>
        <v>671.11990704736502</v>
      </c>
      <c r="P18" s="249">
        <f t="shared" si="8"/>
        <v>2.9370674269031296</v>
      </c>
      <c r="Q18" s="249">
        <f t="shared" si="8"/>
        <v>29.370674269031298</v>
      </c>
      <c r="R18" s="249">
        <f t="shared" si="9"/>
        <v>1004.3302066295252</v>
      </c>
      <c r="S18" s="249">
        <f t="shared" si="10"/>
        <v>366580.52541977668</v>
      </c>
      <c r="W18" s="164"/>
      <c r="X18" s="164"/>
      <c r="Y18" s="164"/>
    </row>
    <row r="19" spans="1:25" x14ac:dyDescent="0.25">
      <c r="A19" s="48">
        <v>2032</v>
      </c>
      <c r="B19" s="50">
        <f t="shared" si="0"/>
        <v>1034.460112828411</v>
      </c>
      <c r="C19" s="55">
        <f t="shared" si="11"/>
        <v>483.87745298115021</v>
      </c>
      <c r="D19" s="56">
        <f t="shared" si="1"/>
        <v>2.1176256147971566</v>
      </c>
      <c r="E19" s="57">
        <f t="shared" si="2"/>
        <v>21.176256147971564</v>
      </c>
      <c r="F19" s="55">
        <f t="shared" si="3"/>
        <v>501.87727070692614</v>
      </c>
      <c r="G19" s="56">
        <f t="shared" si="4"/>
        <v>2.1176256147971566</v>
      </c>
      <c r="H19" s="62">
        <f t="shared" si="5"/>
        <v>23.29388176276872</v>
      </c>
      <c r="I19" s="46"/>
      <c r="J19" s="164">
        <f t="shared" si="6"/>
        <v>507.17133474391892</v>
      </c>
      <c r="K19" s="164">
        <f t="shared" si="7"/>
        <v>527.28877808449204</v>
      </c>
      <c r="M19" s="249">
        <v>13</v>
      </c>
      <c r="N19" s="246">
        <v>2032</v>
      </c>
      <c r="O19" s="249">
        <f t="shared" si="12"/>
        <v>691.25350425878594</v>
      </c>
      <c r="P19" s="249">
        <f t="shared" si="8"/>
        <v>3.0251794497102238</v>
      </c>
      <c r="Q19" s="249">
        <f t="shared" si="8"/>
        <v>30.251794497102239</v>
      </c>
      <c r="R19" s="249">
        <f t="shared" si="9"/>
        <v>1034.460112828411</v>
      </c>
      <c r="S19" s="249">
        <f t="shared" si="10"/>
        <v>377577.94118237001</v>
      </c>
      <c r="W19" s="164"/>
      <c r="X19" s="164"/>
      <c r="Y19" s="164"/>
    </row>
    <row r="20" spans="1:25" x14ac:dyDescent="0.25">
      <c r="A20" s="48">
        <v>2033</v>
      </c>
      <c r="B20" s="50">
        <f t="shared" si="0"/>
        <v>1065.4939162132632</v>
      </c>
      <c r="C20" s="55">
        <f t="shared" si="11"/>
        <v>498.39377657058475</v>
      </c>
      <c r="D20" s="56">
        <f t="shared" si="1"/>
        <v>2.1811543832410716</v>
      </c>
      <c r="E20" s="57">
        <f t="shared" si="2"/>
        <v>21.811543832410713</v>
      </c>
      <c r="F20" s="55">
        <f t="shared" si="3"/>
        <v>516.93358882813391</v>
      </c>
      <c r="G20" s="56">
        <f t="shared" si="4"/>
        <v>2.1811543832410716</v>
      </c>
      <c r="H20" s="62">
        <f t="shared" si="5"/>
        <v>23.992698215651782</v>
      </c>
      <c r="I20" s="46"/>
      <c r="J20" s="164">
        <f t="shared" si="6"/>
        <v>522.38647478623648</v>
      </c>
      <c r="K20" s="164">
        <f t="shared" si="7"/>
        <v>543.10744142702674</v>
      </c>
      <c r="M20" s="249">
        <v>14</v>
      </c>
      <c r="N20" s="246">
        <v>2033</v>
      </c>
      <c r="O20" s="249">
        <f t="shared" si="12"/>
        <v>711.99110938654951</v>
      </c>
      <c r="P20" s="249">
        <f t="shared" si="8"/>
        <v>3.1159348332015306</v>
      </c>
      <c r="Q20" s="249">
        <f t="shared" si="8"/>
        <v>31.159348332015306</v>
      </c>
      <c r="R20" s="249">
        <f t="shared" si="9"/>
        <v>1065.4939162132632</v>
      </c>
      <c r="S20" s="249">
        <f t="shared" si="10"/>
        <v>388905.27941784105</v>
      </c>
      <c r="W20" s="164"/>
      <c r="X20" s="164"/>
      <c r="Y20" s="164"/>
    </row>
    <row r="21" spans="1:25" ht="15.75" thickBot="1" x14ac:dyDescent="0.3">
      <c r="A21" s="49">
        <v>2034</v>
      </c>
      <c r="B21" s="51">
        <f t="shared" si="0"/>
        <v>1097.458733699661</v>
      </c>
      <c r="C21" s="58">
        <f t="shared" si="11"/>
        <v>513.3455898677023</v>
      </c>
      <c r="D21" s="59">
        <f t="shared" si="1"/>
        <v>2.2465890147383036</v>
      </c>
      <c r="E21" s="60">
        <f t="shared" si="2"/>
        <v>22.465890147383035</v>
      </c>
      <c r="F21" s="58">
        <f t="shared" si="3"/>
        <v>532.44159649297796</v>
      </c>
      <c r="G21" s="59">
        <f t="shared" si="4"/>
        <v>2.2465890147383036</v>
      </c>
      <c r="H21" s="63">
        <f t="shared" si="5"/>
        <v>24.712479162121337</v>
      </c>
      <c r="I21" s="46"/>
      <c r="J21" s="164">
        <f t="shared" si="6"/>
        <v>538.05806902982363</v>
      </c>
      <c r="K21" s="164">
        <f t="shared" si="7"/>
        <v>559.40066466983762</v>
      </c>
      <c r="M21" s="249">
        <v>15</v>
      </c>
      <c r="N21" s="246">
        <v>2034</v>
      </c>
      <c r="O21" s="249">
        <f t="shared" si="12"/>
        <v>733.35084266814602</v>
      </c>
      <c r="P21" s="249">
        <f t="shared" si="8"/>
        <v>3.2094128781975768</v>
      </c>
      <c r="Q21" s="249">
        <f t="shared" si="8"/>
        <v>32.094128781975769</v>
      </c>
      <c r="R21" s="249">
        <f t="shared" si="9"/>
        <v>1097.458733699661</v>
      </c>
      <c r="S21" s="249">
        <f t="shared" si="10"/>
        <v>400572.43780037627</v>
      </c>
      <c r="W21" s="164"/>
      <c r="X21" s="164"/>
      <c r="Y21" s="164"/>
    </row>
    <row r="22" spans="1:25" ht="15.75" thickTop="1" x14ac:dyDescent="0.25">
      <c r="A22" s="46"/>
      <c r="B22" s="46"/>
      <c r="C22" s="46"/>
      <c r="D22" s="46"/>
      <c r="E22" s="46"/>
      <c r="F22" s="46"/>
      <c r="G22" s="46"/>
      <c r="H22" s="46"/>
      <c r="I22" s="46"/>
    </row>
    <row r="23" spans="1:25" x14ac:dyDescent="0.25">
      <c r="A23" s="303" t="s">
        <v>23</v>
      </c>
      <c r="B23" s="303"/>
      <c r="C23" s="303"/>
      <c r="D23" s="303"/>
      <c r="E23" s="303"/>
      <c r="F23" s="303"/>
      <c r="G23" s="303"/>
      <c r="H23" s="303"/>
      <c r="I23" s="303"/>
    </row>
    <row r="24" spans="1:25" ht="15.75" thickBot="1" x14ac:dyDescent="0.3">
      <c r="A24" s="64"/>
      <c r="B24" s="64"/>
      <c r="C24" s="64"/>
      <c r="D24" s="64"/>
      <c r="E24" s="64"/>
      <c r="F24" s="64"/>
      <c r="G24" s="64"/>
      <c r="H24" s="64"/>
      <c r="I24" s="64"/>
      <c r="J24" s="164">
        <f>SUM(C6:E6)</f>
        <v>345.35899999999998</v>
      </c>
      <c r="K24" s="164">
        <f>SUM(F6:H6)</f>
        <v>359.05800000000005</v>
      </c>
    </row>
    <row r="25" spans="1:25" x14ac:dyDescent="0.25">
      <c r="A25" s="64"/>
      <c r="B25" s="294" t="s">
        <v>24</v>
      </c>
      <c r="C25" s="295"/>
      <c r="D25" s="295"/>
      <c r="E25" s="295"/>
      <c r="F25" s="295"/>
      <c r="G25" s="295"/>
      <c r="H25" s="296"/>
      <c r="I25" s="65"/>
    </row>
    <row r="26" spans="1:25" x14ac:dyDescent="0.25">
      <c r="A26" s="64"/>
      <c r="B26" s="306" t="s">
        <v>25</v>
      </c>
      <c r="C26" s="308" t="s">
        <v>62</v>
      </c>
      <c r="D26" s="309"/>
      <c r="E26" s="310"/>
      <c r="F26" s="311" t="s">
        <v>63</v>
      </c>
      <c r="G26" s="309"/>
      <c r="H26" s="312"/>
      <c r="I26" s="65"/>
    </row>
    <row r="27" spans="1:25" x14ac:dyDescent="0.25">
      <c r="A27" s="64"/>
      <c r="B27" s="307"/>
      <c r="C27" s="66" t="s">
        <v>5</v>
      </c>
      <c r="D27" s="67" t="s">
        <v>6</v>
      </c>
      <c r="E27" s="68" t="s">
        <v>7</v>
      </c>
      <c r="F27" s="69" t="s">
        <v>5</v>
      </c>
      <c r="G27" s="67" t="s">
        <v>6</v>
      </c>
      <c r="H27" s="70" t="s">
        <v>7</v>
      </c>
      <c r="I27" s="65"/>
    </row>
    <row r="28" spans="1:25" ht="15.75" thickBot="1" x14ac:dyDescent="0.3">
      <c r="A28" s="64">
        <v>2019</v>
      </c>
      <c r="B28" s="71">
        <f>B6</f>
        <v>704.41700000000003</v>
      </c>
      <c r="C28" s="167">
        <f>C6/$J$24</f>
        <v>0.95407098121085587</v>
      </c>
      <c r="D28" s="165">
        <f>D6/$J$24</f>
        <v>4.1753653444676414E-3</v>
      </c>
      <c r="E28" s="166">
        <f>E6/$J$24</f>
        <v>4.1753653444676408E-2</v>
      </c>
      <c r="F28" s="168">
        <f>F6/$K$24</f>
        <v>0.95180722891566261</v>
      </c>
      <c r="G28" s="165">
        <f>G6/$K$24</f>
        <v>4.0160642570281121E-3</v>
      </c>
      <c r="H28" s="169">
        <f>H6/$K$24</f>
        <v>4.4176706827309224E-2</v>
      </c>
      <c r="I28" s="65"/>
    </row>
  </sheetData>
  <mergeCells count="12">
    <mergeCell ref="O4:S4"/>
    <mergeCell ref="M4:N5"/>
    <mergeCell ref="B26:B27"/>
    <mergeCell ref="C26:E26"/>
    <mergeCell ref="F26:H26"/>
    <mergeCell ref="B4:B5"/>
    <mergeCell ref="A3:H3"/>
    <mergeCell ref="B25:H25"/>
    <mergeCell ref="A4:A5"/>
    <mergeCell ref="C4:E4"/>
    <mergeCell ref="F4:H4"/>
    <mergeCell ref="A23:I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21"/>
  <sheetViews>
    <sheetView topLeftCell="L1" zoomScale="70" zoomScaleNormal="70" workbookViewId="0">
      <selection activeCell="W33" sqref="W33"/>
    </sheetView>
  </sheetViews>
  <sheetFormatPr baseColWidth="10" defaultRowHeight="15" x14ac:dyDescent="0.25"/>
  <cols>
    <col min="1" max="1" width="5.85546875" bestFit="1" customWidth="1"/>
    <col min="2" max="2" width="6.140625" customWidth="1"/>
    <col min="3" max="5" width="4.5703125" customWidth="1"/>
    <col min="6" max="6" width="6" customWidth="1"/>
    <col min="7" max="7" width="4.5703125" customWidth="1"/>
    <col min="8" max="8" width="6" customWidth="1"/>
    <col min="9" max="9" width="4.5703125" customWidth="1"/>
    <col min="10" max="10" width="0" hidden="1" customWidth="1"/>
    <col min="12" max="12" width="5.85546875" customWidth="1"/>
    <col min="13" max="13" width="10.140625" bestFit="1" customWidth="1"/>
    <col min="14" max="16" width="10.5703125" customWidth="1"/>
    <col min="17" max="17" width="8.5703125" customWidth="1"/>
    <col min="18" max="20" width="10.5703125" customWidth="1"/>
    <col min="21" max="21" width="8.5703125" customWidth="1"/>
    <col min="23" max="23" width="9.140625" customWidth="1"/>
    <col min="24" max="24" width="10.42578125" customWidth="1"/>
    <col min="25" max="30" width="5.140625" customWidth="1"/>
  </cols>
  <sheetData>
    <row r="1" spans="1:31" x14ac:dyDescent="0.25">
      <c r="A1" s="1" t="s">
        <v>0</v>
      </c>
      <c r="B1" s="8">
        <v>0.03</v>
      </c>
      <c r="C1" s="1"/>
      <c r="D1" s="6"/>
      <c r="E1" s="1"/>
      <c r="F1" s="7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ht="15" customHeight="1" x14ac:dyDescent="0.25">
      <c r="A2" s="293" t="str">
        <f>'PROY TDPA'!A3:H3</f>
        <v>Av. Crecer en Grande</v>
      </c>
      <c r="B2" s="293"/>
      <c r="C2" s="293"/>
      <c r="D2" s="293"/>
      <c r="E2" s="293"/>
      <c r="F2" s="293"/>
      <c r="G2" s="293"/>
      <c r="H2" s="293"/>
      <c r="I2" s="293"/>
      <c r="J2" s="3"/>
      <c r="K2" s="2"/>
      <c r="L2" s="1"/>
      <c r="M2" s="1"/>
      <c r="N2" s="328" t="s">
        <v>62</v>
      </c>
      <c r="O2" s="329"/>
      <c r="P2" s="329"/>
      <c r="Q2" s="330"/>
      <c r="R2" s="323" t="s">
        <v>63</v>
      </c>
      <c r="S2" s="323"/>
      <c r="T2" s="323"/>
      <c r="U2" s="323"/>
      <c r="V2" s="1"/>
    </row>
    <row r="3" spans="1:31" ht="26.25" customHeight="1" x14ac:dyDescent="0.25">
      <c r="A3" s="331" t="s">
        <v>1</v>
      </c>
      <c r="B3" s="321" t="s">
        <v>62</v>
      </c>
      <c r="C3" s="316"/>
      <c r="D3" s="316"/>
      <c r="E3" s="322"/>
      <c r="F3" s="321" t="s">
        <v>63</v>
      </c>
      <c r="G3" s="316"/>
      <c r="H3" s="316"/>
      <c r="I3" s="316"/>
      <c r="J3" s="148"/>
      <c r="K3" s="317" t="s">
        <v>3</v>
      </c>
      <c r="L3" s="1"/>
      <c r="M3" s="314" t="s">
        <v>4</v>
      </c>
      <c r="N3" s="150" t="s">
        <v>8</v>
      </c>
      <c r="O3" s="153" t="s">
        <v>9</v>
      </c>
      <c r="P3" s="153" t="s">
        <v>10</v>
      </c>
      <c r="Q3" s="324" t="s">
        <v>3</v>
      </c>
      <c r="R3" s="154" t="s">
        <v>8</v>
      </c>
      <c r="S3" s="153" t="s">
        <v>9</v>
      </c>
      <c r="T3" s="153" t="s">
        <v>10</v>
      </c>
      <c r="U3" s="326" t="s">
        <v>3</v>
      </c>
      <c r="V3" s="11"/>
    </row>
    <row r="4" spans="1:31" ht="23.25" customHeight="1" thickBot="1" x14ac:dyDescent="0.3">
      <c r="A4" s="332"/>
      <c r="B4" s="149" t="s">
        <v>61</v>
      </c>
      <c r="C4" s="150" t="s">
        <v>5</v>
      </c>
      <c r="D4" s="150" t="s">
        <v>6</v>
      </c>
      <c r="E4" s="151" t="s">
        <v>7</v>
      </c>
      <c r="F4" s="149" t="s">
        <v>61</v>
      </c>
      <c r="G4" s="150" t="s">
        <v>5</v>
      </c>
      <c r="H4" s="150" t="s">
        <v>6</v>
      </c>
      <c r="I4" s="152" t="s">
        <v>7</v>
      </c>
      <c r="J4" s="148"/>
      <c r="K4" s="318"/>
      <c r="L4" s="1"/>
      <c r="M4" s="315"/>
      <c r="N4" s="155" t="s">
        <v>11</v>
      </c>
      <c r="O4" s="156" t="s">
        <v>11</v>
      </c>
      <c r="P4" s="156" t="s">
        <v>11</v>
      </c>
      <c r="Q4" s="325"/>
      <c r="R4" s="157" t="s">
        <v>11</v>
      </c>
      <c r="S4" s="156" t="s">
        <v>11</v>
      </c>
      <c r="T4" s="156" t="s">
        <v>11</v>
      </c>
      <c r="U4" s="327"/>
      <c r="V4" s="11"/>
      <c r="W4" s="314" t="s">
        <v>1</v>
      </c>
      <c r="X4" s="319" t="s">
        <v>85</v>
      </c>
      <c r="Y4" s="321" t="s">
        <v>62</v>
      </c>
      <c r="Z4" s="316"/>
      <c r="AA4" s="322"/>
      <c r="AB4" s="316" t="s">
        <v>63</v>
      </c>
      <c r="AC4" s="316"/>
      <c r="AD4" s="316"/>
      <c r="AE4" s="317" t="s">
        <v>3</v>
      </c>
    </row>
    <row r="5" spans="1:31" ht="16.5" thickTop="1" thickBot="1" x14ac:dyDescent="0.3">
      <c r="A5" s="48">
        <f>'PROY TDPA'!A6</f>
        <v>2019</v>
      </c>
      <c r="B5" s="252">
        <f>SUM('PROY TDPA'!C6:E6)</f>
        <v>345.35899999999998</v>
      </c>
      <c r="C5" s="53">
        <v>80</v>
      </c>
      <c r="D5" s="53">
        <f>O5</f>
        <v>70</v>
      </c>
      <c r="E5" s="61">
        <f>P5</f>
        <v>60</v>
      </c>
      <c r="F5" s="252">
        <f>SUM('PROY TDPA'!F6:H6)</f>
        <v>359.05800000000005</v>
      </c>
      <c r="G5" s="53">
        <f>R5</f>
        <v>80</v>
      </c>
      <c r="H5" s="53">
        <f>S5</f>
        <v>70</v>
      </c>
      <c r="I5" s="54">
        <v>60</v>
      </c>
      <c r="J5" s="1"/>
      <c r="K5" s="9" t="s">
        <v>5</v>
      </c>
      <c r="L5" s="5"/>
      <c r="M5" s="12" t="s">
        <v>64</v>
      </c>
      <c r="N5" s="13">
        <v>80</v>
      </c>
      <c r="O5" s="14">
        <v>70</v>
      </c>
      <c r="P5" s="14">
        <v>60</v>
      </c>
      <c r="Q5" s="132" t="s">
        <v>5</v>
      </c>
      <c r="R5" s="133">
        <v>80</v>
      </c>
      <c r="S5" s="134">
        <v>70</v>
      </c>
      <c r="T5" s="134">
        <v>60</v>
      </c>
      <c r="U5" s="135" t="s">
        <v>5</v>
      </c>
      <c r="V5" s="11"/>
      <c r="W5" s="315"/>
      <c r="X5" s="320"/>
      <c r="Y5" s="188" t="s">
        <v>5</v>
      </c>
      <c r="Z5" s="189" t="s">
        <v>6</v>
      </c>
      <c r="AA5" s="190" t="s">
        <v>7</v>
      </c>
      <c r="AB5" s="191" t="s">
        <v>5</v>
      </c>
      <c r="AC5" s="150" t="s">
        <v>6</v>
      </c>
      <c r="AD5" s="178" t="s">
        <v>7</v>
      </c>
      <c r="AE5" s="318"/>
    </row>
    <row r="6" spans="1:31" ht="15.75" thickTop="1" x14ac:dyDescent="0.25">
      <c r="A6" s="48">
        <f>'PROY TDPA'!A7</f>
        <v>2020</v>
      </c>
      <c r="B6" s="253">
        <f>SUM('PROY TDPA'!C7:E7)</f>
        <v>355.71976999999993</v>
      </c>
      <c r="C6" s="254">
        <f>(B5*C5)/B6</f>
        <v>77.669902912621367</v>
      </c>
      <c r="D6" s="56">
        <f>(B5*D5)/B6</f>
        <v>67.961165048543691</v>
      </c>
      <c r="E6" s="62">
        <f>(B5*E5)/B6</f>
        <v>58.252427184466022</v>
      </c>
      <c r="F6" s="253">
        <f>SUM('PROY TDPA'!F7:H7)</f>
        <v>369.82974000000002</v>
      </c>
      <c r="G6" s="254">
        <f>(F5*G5)/F6</f>
        <v>77.669902912621367</v>
      </c>
      <c r="H6" s="56">
        <f>(F5*H5)/F6</f>
        <v>67.961165048543705</v>
      </c>
      <c r="I6" s="57">
        <f>(F5*I5)/F6</f>
        <v>58.252427184466029</v>
      </c>
      <c r="J6" s="1"/>
      <c r="K6" s="10" t="s">
        <v>5</v>
      </c>
      <c r="L6" s="5"/>
      <c r="M6" s="76"/>
      <c r="N6" s="76"/>
      <c r="O6" s="5"/>
      <c r="P6" s="76"/>
      <c r="Q6" s="76"/>
      <c r="R6" s="76"/>
      <c r="S6" s="76"/>
      <c r="T6" s="76"/>
      <c r="U6" s="76"/>
      <c r="V6" s="76"/>
      <c r="W6" s="48">
        <f t="shared" ref="W6:W21" si="0">A5</f>
        <v>2019</v>
      </c>
      <c r="X6" s="7">
        <f t="shared" ref="X6:X21" si="1">B5+F5</f>
        <v>704.41700000000003</v>
      </c>
      <c r="Y6" s="52">
        <v>80</v>
      </c>
      <c r="Z6" s="53">
        <f>D5</f>
        <v>70</v>
      </c>
      <c r="AA6" s="61">
        <f t="shared" ref="AA6:AA21" si="2">E5</f>
        <v>60</v>
      </c>
      <c r="AB6" s="52">
        <f t="shared" ref="AB6:AB21" si="3">G5</f>
        <v>80</v>
      </c>
      <c r="AC6" s="53">
        <f t="shared" ref="AC6:AC21" si="4">H5</f>
        <v>70</v>
      </c>
      <c r="AD6" s="61">
        <f t="shared" ref="AD6:AD21" si="5">I5</f>
        <v>60</v>
      </c>
      <c r="AE6" s="9" t="s">
        <v>5</v>
      </c>
    </row>
    <row r="7" spans="1:31" x14ac:dyDescent="0.25">
      <c r="A7" s="48">
        <f>'PROY TDPA'!A8</f>
        <v>2021</v>
      </c>
      <c r="B7" s="253">
        <f>SUM('PROY TDPA'!C8:E8)</f>
        <v>366.39136309999998</v>
      </c>
      <c r="C7" s="254">
        <f t="shared" ref="C7:C19" si="6">(B6*C6)/B7</f>
        <v>75.407672730700341</v>
      </c>
      <c r="D7" s="56">
        <f>(B6*D6)/B7</f>
        <v>65.981713639362809</v>
      </c>
      <c r="E7" s="62">
        <f t="shared" ref="E7:E20" si="7">(B6*E6)/B7</f>
        <v>56.555754548025256</v>
      </c>
      <c r="F7" s="253">
        <f>SUM('PROY TDPA'!F8:H8)</f>
        <v>380.92463220000008</v>
      </c>
      <c r="G7" s="254">
        <f t="shared" ref="G7:G20" si="8">(F6*G6)/F7</f>
        <v>75.407672730700341</v>
      </c>
      <c r="H7" s="56">
        <f t="shared" ref="H7:H20" si="9">(F6*H6)/F7</f>
        <v>65.981713639362809</v>
      </c>
      <c r="I7" s="57">
        <f t="shared" ref="I7:I20" si="10">(F6*I6)/F7</f>
        <v>56.555754548025256</v>
      </c>
      <c r="J7" s="1"/>
      <c r="K7" s="10" t="s">
        <v>5</v>
      </c>
      <c r="L7" s="5"/>
      <c r="M7" s="76"/>
      <c r="N7" s="76"/>
      <c r="O7" s="5"/>
      <c r="P7" s="76"/>
      <c r="Q7" s="76"/>
      <c r="R7" s="76"/>
      <c r="S7" s="76"/>
      <c r="T7" s="76"/>
      <c r="U7" s="76"/>
      <c r="V7" s="76"/>
      <c r="W7" s="48">
        <f t="shared" si="0"/>
        <v>2020</v>
      </c>
      <c r="X7" s="7">
        <f t="shared" si="1"/>
        <v>725.54950999999994</v>
      </c>
      <c r="Y7" s="56">
        <f t="shared" ref="Y7:Y21" si="11">C6</f>
        <v>77.669902912621367</v>
      </c>
      <c r="Z7" s="56">
        <f>D6</f>
        <v>67.961165048543691</v>
      </c>
      <c r="AA7" s="62">
        <f t="shared" si="2"/>
        <v>58.252427184466022</v>
      </c>
      <c r="AB7" s="7">
        <f t="shared" si="3"/>
        <v>77.669902912621367</v>
      </c>
      <c r="AC7" s="56">
        <f t="shared" si="4"/>
        <v>67.961165048543705</v>
      </c>
      <c r="AD7" s="62">
        <f t="shared" si="5"/>
        <v>58.252427184466029</v>
      </c>
      <c r="AE7" s="10" t="s">
        <v>5</v>
      </c>
    </row>
    <row r="8" spans="1:31" x14ac:dyDescent="0.25">
      <c r="A8" s="48">
        <f>'PROY TDPA'!A9</f>
        <v>2022</v>
      </c>
      <c r="B8" s="253">
        <f>SUM('PROY TDPA'!C9:E9)</f>
        <v>377.38310399300002</v>
      </c>
      <c r="C8" s="254">
        <f t="shared" si="6"/>
        <v>73.211332748252744</v>
      </c>
      <c r="D8" s="56">
        <f>(B7*D7)/B8</f>
        <v>64.059916154721165</v>
      </c>
      <c r="E8" s="62">
        <f t="shared" si="7"/>
        <v>54.908499561189565</v>
      </c>
      <c r="F8" s="253">
        <f>SUM('PROY TDPA'!F9:H9)</f>
        <v>392.35237116600013</v>
      </c>
      <c r="G8" s="254">
        <f t="shared" si="8"/>
        <v>73.211332748252744</v>
      </c>
      <c r="H8" s="56">
        <f t="shared" si="9"/>
        <v>64.059916154721165</v>
      </c>
      <c r="I8" s="57">
        <f t="shared" si="10"/>
        <v>54.908499561189565</v>
      </c>
      <c r="J8" s="1"/>
      <c r="K8" s="10" t="s">
        <v>5</v>
      </c>
      <c r="L8" s="5"/>
      <c r="M8" s="76"/>
      <c r="N8" s="76"/>
      <c r="O8" s="5"/>
      <c r="P8" s="1"/>
      <c r="Q8" s="1"/>
      <c r="R8" s="1"/>
      <c r="S8" s="1"/>
      <c r="T8" s="1"/>
      <c r="U8" s="1"/>
      <c r="V8" s="1"/>
      <c r="W8" s="48">
        <f t="shared" si="0"/>
        <v>2021</v>
      </c>
      <c r="X8" s="7">
        <f t="shared" si="1"/>
        <v>747.31599530000005</v>
      </c>
      <c r="Y8" s="56">
        <f t="shared" si="11"/>
        <v>75.407672730700341</v>
      </c>
      <c r="Z8" s="56">
        <f t="shared" ref="Z8:Z21" si="12">D7</f>
        <v>65.981713639362809</v>
      </c>
      <c r="AA8" s="62">
        <f t="shared" si="2"/>
        <v>56.555754548025256</v>
      </c>
      <c r="AB8" s="7">
        <f t="shared" si="3"/>
        <v>75.407672730700341</v>
      </c>
      <c r="AC8" s="56">
        <f t="shared" si="4"/>
        <v>65.981713639362809</v>
      </c>
      <c r="AD8" s="62">
        <f t="shared" si="5"/>
        <v>56.555754548025256</v>
      </c>
      <c r="AE8" s="10" t="s">
        <v>5</v>
      </c>
    </row>
    <row r="9" spans="1:31" x14ac:dyDescent="0.25">
      <c r="A9" s="48">
        <f>'PROY TDPA'!A10</f>
        <v>2023</v>
      </c>
      <c r="B9" s="253">
        <f>SUM('PROY TDPA'!C10:E10)</f>
        <v>388.70459711279</v>
      </c>
      <c r="C9" s="254">
        <f>(B8*C8)/B9</f>
        <v>71.078963833255102</v>
      </c>
      <c r="D9" s="56">
        <f t="shared" ref="D9:D17" si="13">(B8*D8)/B9</f>
        <v>62.194093354098229</v>
      </c>
      <c r="E9" s="62">
        <f t="shared" si="7"/>
        <v>53.309222874941327</v>
      </c>
      <c r="F9" s="253">
        <f>SUM('PROY TDPA'!F10:H10)</f>
        <v>404.12294230098013</v>
      </c>
      <c r="G9" s="254">
        <f t="shared" si="8"/>
        <v>71.078963833255088</v>
      </c>
      <c r="H9" s="56">
        <f t="shared" si="9"/>
        <v>62.194093354098214</v>
      </c>
      <c r="I9" s="57">
        <f t="shared" si="10"/>
        <v>53.309222874941327</v>
      </c>
      <c r="J9" s="1"/>
      <c r="K9" s="10" t="s">
        <v>5</v>
      </c>
      <c r="L9" s="5"/>
      <c r="M9" s="76"/>
      <c r="N9" s="76"/>
      <c r="O9" s="5"/>
      <c r="P9" s="1"/>
      <c r="Q9" s="1"/>
      <c r="R9" s="1"/>
      <c r="S9" s="1"/>
      <c r="T9" s="1"/>
      <c r="U9" s="1"/>
      <c r="V9" s="1"/>
      <c r="W9" s="48">
        <f t="shared" si="0"/>
        <v>2022</v>
      </c>
      <c r="X9" s="7">
        <f t="shared" si="1"/>
        <v>769.73547515900009</v>
      </c>
      <c r="Y9" s="56">
        <f t="shared" si="11"/>
        <v>73.211332748252744</v>
      </c>
      <c r="Z9" s="56">
        <f t="shared" si="12"/>
        <v>64.059916154721165</v>
      </c>
      <c r="AA9" s="62">
        <f t="shared" si="2"/>
        <v>54.908499561189565</v>
      </c>
      <c r="AB9" s="7">
        <f t="shared" si="3"/>
        <v>73.211332748252744</v>
      </c>
      <c r="AC9" s="56">
        <f t="shared" si="4"/>
        <v>64.059916154721165</v>
      </c>
      <c r="AD9" s="62">
        <f t="shared" si="5"/>
        <v>54.908499561189565</v>
      </c>
      <c r="AE9" s="10" t="s">
        <v>5</v>
      </c>
    </row>
    <row r="10" spans="1:31" x14ac:dyDescent="0.25">
      <c r="A10" s="48">
        <f>'PROY TDPA'!A11</f>
        <v>2024</v>
      </c>
      <c r="B10" s="253">
        <f>SUM('PROY TDPA'!C11:E11)</f>
        <v>400.3657350261737</v>
      </c>
      <c r="C10" s="254">
        <f t="shared" si="6"/>
        <v>69.008702750733107</v>
      </c>
      <c r="D10" s="56">
        <f t="shared" si="13"/>
        <v>60.382614906891483</v>
      </c>
      <c r="E10" s="62">
        <f t="shared" si="7"/>
        <v>51.75652706304983</v>
      </c>
      <c r="F10" s="253">
        <f>SUM('PROY TDPA'!F11:H11)</f>
        <v>416.24663057000947</v>
      </c>
      <c r="G10" s="254">
        <f t="shared" si="8"/>
        <v>69.008702750733107</v>
      </c>
      <c r="H10" s="56">
        <f t="shared" si="9"/>
        <v>60.382614906891483</v>
      </c>
      <c r="I10" s="57">
        <f t="shared" si="10"/>
        <v>51.756527063049838</v>
      </c>
      <c r="J10" s="1"/>
      <c r="K10" s="10" t="s">
        <v>5</v>
      </c>
      <c r="L10" s="5"/>
      <c r="M10" s="76"/>
      <c r="N10" s="76"/>
      <c r="O10" s="5"/>
      <c r="P10" s="1"/>
      <c r="Q10" s="1"/>
      <c r="R10" s="1"/>
      <c r="S10" s="1"/>
      <c r="T10" s="1"/>
      <c r="U10" s="1"/>
      <c r="V10" s="1"/>
      <c r="W10" s="48">
        <f t="shared" si="0"/>
        <v>2023</v>
      </c>
      <c r="X10" s="7">
        <f t="shared" si="1"/>
        <v>792.82753941377018</v>
      </c>
      <c r="Y10" s="56">
        <f t="shared" si="11"/>
        <v>71.078963833255102</v>
      </c>
      <c r="Z10" s="56">
        <f t="shared" si="12"/>
        <v>62.194093354098229</v>
      </c>
      <c r="AA10" s="62">
        <f t="shared" si="2"/>
        <v>53.309222874941327</v>
      </c>
      <c r="AB10" s="7">
        <f t="shared" si="3"/>
        <v>71.078963833255088</v>
      </c>
      <c r="AC10" s="56">
        <f t="shared" si="4"/>
        <v>62.194093354098214</v>
      </c>
      <c r="AD10" s="62">
        <f t="shared" si="5"/>
        <v>53.309222874941327</v>
      </c>
      <c r="AE10" s="10" t="s">
        <v>5</v>
      </c>
    </row>
    <row r="11" spans="1:31" x14ac:dyDescent="0.25">
      <c r="A11" s="48">
        <f>'PROY TDPA'!A12</f>
        <v>2025</v>
      </c>
      <c r="B11" s="253">
        <f>SUM('PROY TDPA'!C12:E12)</f>
        <v>412.37670707695895</v>
      </c>
      <c r="C11" s="254">
        <f t="shared" si="6"/>
        <v>66.998740534692331</v>
      </c>
      <c r="D11" s="56">
        <f t="shared" si="13"/>
        <v>58.623897967855804</v>
      </c>
      <c r="E11" s="62">
        <f t="shared" si="7"/>
        <v>50.249055401019248</v>
      </c>
      <c r="F11" s="253">
        <f>SUM('PROY TDPA'!F12:H12)</f>
        <v>428.73402948710981</v>
      </c>
      <c r="G11" s="254">
        <f t="shared" si="8"/>
        <v>66.998740534692331</v>
      </c>
      <c r="H11" s="56">
        <f t="shared" si="9"/>
        <v>58.623897967855797</v>
      </c>
      <c r="I11" s="57">
        <f t="shared" si="10"/>
        <v>50.249055401019255</v>
      </c>
      <c r="J11" s="1"/>
      <c r="K11" s="10" t="s">
        <v>5</v>
      </c>
      <c r="L11" s="5"/>
      <c r="M11" s="76"/>
      <c r="N11" s="76"/>
      <c r="O11" s="5"/>
      <c r="P11" s="1"/>
      <c r="Q11" s="1"/>
      <c r="R11" s="1"/>
      <c r="S11" s="1"/>
      <c r="T11" s="1"/>
      <c r="U11" s="1"/>
      <c r="V11" s="1"/>
      <c r="W11" s="48">
        <f t="shared" si="0"/>
        <v>2024</v>
      </c>
      <c r="X11" s="7">
        <f t="shared" si="1"/>
        <v>816.61236559618317</v>
      </c>
      <c r="Y11" s="56">
        <f t="shared" si="11"/>
        <v>69.008702750733107</v>
      </c>
      <c r="Z11" s="56">
        <f t="shared" si="12"/>
        <v>60.382614906891483</v>
      </c>
      <c r="AA11" s="62">
        <f t="shared" si="2"/>
        <v>51.75652706304983</v>
      </c>
      <c r="AB11" s="7">
        <f t="shared" si="3"/>
        <v>69.008702750733107</v>
      </c>
      <c r="AC11" s="56">
        <f t="shared" si="4"/>
        <v>60.382614906891483</v>
      </c>
      <c r="AD11" s="62">
        <f t="shared" si="5"/>
        <v>51.756527063049838</v>
      </c>
      <c r="AE11" s="10" t="s">
        <v>5</v>
      </c>
    </row>
    <row r="12" spans="1:31" x14ac:dyDescent="0.25">
      <c r="A12" s="48">
        <f>'PROY TDPA'!A13</f>
        <v>2026</v>
      </c>
      <c r="B12" s="253">
        <f>SUM('PROY TDPA'!C13:E13)</f>
        <v>424.74800828926772</v>
      </c>
      <c r="C12" s="254">
        <f t="shared" si="6"/>
        <v>65.047320907468276</v>
      </c>
      <c r="D12" s="56">
        <f t="shared" si="13"/>
        <v>56.916405794034759</v>
      </c>
      <c r="E12" s="62">
        <f t="shared" si="7"/>
        <v>48.785490680601214</v>
      </c>
      <c r="F12" s="253">
        <f>SUM('PROY TDPA'!F13:H13)</f>
        <v>441.59605037172309</v>
      </c>
      <c r="G12" s="254">
        <f t="shared" si="8"/>
        <v>65.047320907468276</v>
      </c>
      <c r="H12" s="56">
        <f t="shared" si="9"/>
        <v>56.916405794034759</v>
      </c>
      <c r="I12" s="57">
        <f t="shared" si="10"/>
        <v>48.785490680601221</v>
      </c>
      <c r="J12" s="1"/>
      <c r="K12" s="10" t="s">
        <v>5</v>
      </c>
      <c r="L12" s="5"/>
      <c r="M12" s="76"/>
      <c r="N12" s="76"/>
      <c r="O12" s="5"/>
      <c r="P12" s="1"/>
      <c r="Q12" s="1"/>
      <c r="R12" s="1"/>
      <c r="S12" s="1"/>
      <c r="T12" s="1"/>
      <c r="U12" s="1"/>
      <c r="V12" s="1"/>
      <c r="W12" s="48">
        <f t="shared" si="0"/>
        <v>2025</v>
      </c>
      <c r="X12" s="7">
        <f t="shared" si="1"/>
        <v>841.1107365640687</v>
      </c>
      <c r="Y12" s="56">
        <f t="shared" si="11"/>
        <v>66.998740534692331</v>
      </c>
      <c r="Z12" s="56">
        <f t="shared" si="12"/>
        <v>58.623897967855804</v>
      </c>
      <c r="AA12" s="62">
        <f t="shared" si="2"/>
        <v>50.249055401019248</v>
      </c>
      <c r="AB12" s="7">
        <f t="shared" si="3"/>
        <v>66.998740534692331</v>
      </c>
      <c r="AC12" s="56">
        <f t="shared" si="4"/>
        <v>58.623897967855797</v>
      </c>
      <c r="AD12" s="62">
        <f t="shared" si="5"/>
        <v>50.249055401019255</v>
      </c>
      <c r="AE12" s="10" t="s">
        <v>5</v>
      </c>
    </row>
    <row r="13" spans="1:31" x14ac:dyDescent="0.25">
      <c r="A13" s="48">
        <f>'PROY TDPA'!A14</f>
        <v>2027</v>
      </c>
      <c r="B13" s="253">
        <f>SUM('PROY TDPA'!C14:E14)</f>
        <v>437.49044853794578</v>
      </c>
      <c r="C13" s="254">
        <f t="shared" si="6"/>
        <v>63.152738745114831</v>
      </c>
      <c r="D13" s="56">
        <f t="shared" si="13"/>
        <v>55.25864640197549</v>
      </c>
      <c r="E13" s="62">
        <f t="shared" si="7"/>
        <v>47.364554058836127</v>
      </c>
      <c r="F13" s="253">
        <f>SUM('PROY TDPA'!F14:H14)</f>
        <v>454.84393188287487</v>
      </c>
      <c r="G13" s="254">
        <f t="shared" si="8"/>
        <v>63.152738745114817</v>
      </c>
      <c r="H13" s="56">
        <f t="shared" si="9"/>
        <v>55.258646401975483</v>
      </c>
      <c r="I13" s="57">
        <f t="shared" si="10"/>
        <v>47.364554058836127</v>
      </c>
      <c r="J13" s="1"/>
      <c r="K13" s="10" t="s">
        <v>5</v>
      </c>
      <c r="L13" s="5"/>
      <c r="M13" s="76"/>
      <c r="N13" s="76"/>
      <c r="O13" s="5"/>
      <c r="P13" s="1"/>
      <c r="Q13" s="1"/>
      <c r="R13" s="1"/>
      <c r="S13" s="1"/>
      <c r="T13" s="1"/>
      <c r="U13" s="1"/>
      <c r="V13" s="1"/>
      <c r="W13" s="48">
        <f t="shared" si="0"/>
        <v>2026</v>
      </c>
      <c r="X13" s="7">
        <f t="shared" si="1"/>
        <v>866.34405866099087</v>
      </c>
      <c r="Y13" s="56">
        <f t="shared" si="11"/>
        <v>65.047320907468276</v>
      </c>
      <c r="Z13" s="56">
        <f t="shared" si="12"/>
        <v>56.916405794034759</v>
      </c>
      <c r="AA13" s="62">
        <f t="shared" si="2"/>
        <v>48.785490680601214</v>
      </c>
      <c r="AB13" s="7">
        <f t="shared" si="3"/>
        <v>65.047320907468276</v>
      </c>
      <c r="AC13" s="56">
        <f t="shared" si="4"/>
        <v>56.916405794034759</v>
      </c>
      <c r="AD13" s="62">
        <f t="shared" si="5"/>
        <v>48.785490680601221</v>
      </c>
      <c r="AE13" s="10" t="s">
        <v>5</v>
      </c>
    </row>
    <row r="14" spans="1:31" x14ac:dyDescent="0.25">
      <c r="A14" s="48">
        <f>'PROY TDPA'!A15</f>
        <v>2028</v>
      </c>
      <c r="B14" s="253">
        <f>SUM('PROY TDPA'!C15:E15)</f>
        <v>450.61516199408413</v>
      </c>
      <c r="C14" s="254">
        <f t="shared" si="6"/>
        <v>61.313338587490129</v>
      </c>
      <c r="D14" s="56">
        <f t="shared" si="13"/>
        <v>53.649171264053876</v>
      </c>
      <c r="E14" s="62">
        <f t="shared" si="7"/>
        <v>45.985003940617602</v>
      </c>
      <c r="F14" s="253">
        <f>SUM('PROY TDPA'!F15:H15)</f>
        <v>468.48924983936109</v>
      </c>
      <c r="G14" s="254">
        <f t="shared" si="8"/>
        <v>61.313338587490115</v>
      </c>
      <c r="H14" s="56">
        <f t="shared" si="9"/>
        <v>53.649171264053869</v>
      </c>
      <c r="I14" s="57">
        <f t="shared" si="10"/>
        <v>45.985003940617602</v>
      </c>
      <c r="J14" s="1"/>
      <c r="K14" s="10" t="s">
        <v>5</v>
      </c>
      <c r="L14" s="5"/>
      <c r="M14" s="76"/>
      <c r="N14" s="76"/>
      <c r="O14" s="5"/>
      <c r="P14" s="1"/>
      <c r="Q14" s="1"/>
      <c r="R14" s="1"/>
      <c r="S14" s="1"/>
      <c r="T14" s="1"/>
      <c r="U14" s="1"/>
      <c r="V14" s="1"/>
      <c r="W14" s="48">
        <f t="shared" si="0"/>
        <v>2027</v>
      </c>
      <c r="X14" s="7">
        <f t="shared" si="1"/>
        <v>892.33438042082071</v>
      </c>
      <c r="Y14" s="56">
        <f t="shared" si="11"/>
        <v>63.152738745114831</v>
      </c>
      <c r="Z14" s="56">
        <f t="shared" si="12"/>
        <v>55.25864640197549</v>
      </c>
      <c r="AA14" s="62">
        <f t="shared" si="2"/>
        <v>47.364554058836127</v>
      </c>
      <c r="AB14" s="7">
        <f t="shared" si="3"/>
        <v>63.152738745114817</v>
      </c>
      <c r="AC14" s="56">
        <f t="shared" si="4"/>
        <v>55.258646401975483</v>
      </c>
      <c r="AD14" s="62">
        <f t="shared" si="5"/>
        <v>47.364554058836127</v>
      </c>
      <c r="AE14" s="10" t="s">
        <v>5</v>
      </c>
    </row>
    <row r="15" spans="1:31" x14ac:dyDescent="0.25">
      <c r="A15" s="48">
        <f>'PROY TDPA'!A16</f>
        <v>2029</v>
      </c>
      <c r="B15" s="253">
        <f>SUM('PROY TDPA'!C16:E16)</f>
        <v>464.13361685390669</v>
      </c>
      <c r="C15" s="254">
        <f>(B14*C14)/B15</f>
        <v>59.527513191737988</v>
      </c>
      <c r="D15" s="56">
        <f t="shared" si="13"/>
        <v>52.086574042770749</v>
      </c>
      <c r="E15" s="62">
        <f t="shared" si="7"/>
        <v>44.645634893803489</v>
      </c>
      <c r="F15" s="253">
        <f>SUM('PROY TDPA'!F16:H16)</f>
        <v>482.54392733454193</v>
      </c>
      <c r="G15" s="254">
        <f t="shared" si="8"/>
        <v>59.527513191737974</v>
      </c>
      <c r="H15" s="56">
        <f t="shared" si="9"/>
        <v>52.086574042770749</v>
      </c>
      <c r="I15" s="57">
        <f t="shared" si="10"/>
        <v>44.645634893803496</v>
      </c>
      <c r="J15" s="1"/>
      <c r="K15" s="10" t="s">
        <v>5</v>
      </c>
      <c r="L15" s="5"/>
      <c r="M15" s="76"/>
      <c r="N15" s="76"/>
      <c r="O15" s="5"/>
      <c r="P15" s="1"/>
      <c r="Q15" s="1"/>
      <c r="R15" s="1"/>
      <c r="S15" s="1"/>
      <c r="T15" s="1"/>
      <c r="U15" s="1"/>
      <c r="V15" s="1"/>
      <c r="W15" s="48">
        <f t="shared" si="0"/>
        <v>2028</v>
      </c>
      <c r="X15" s="7">
        <f t="shared" si="1"/>
        <v>919.10441183344528</v>
      </c>
      <c r="Y15" s="56">
        <f t="shared" si="11"/>
        <v>61.313338587490129</v>
      </c>
      <c r="Z15" s="56">
        <f t="shared" si="12"/>
        <v>53.649171264053876</v>
      </c>
      <c r="AA15" s="62">
        <f t="shared" si="2"/>
        <v>45.985003940617602</v>
      </c>
      <c r="AB15" s="7">
        <f t="shared" si="3"/>
        <v>61.313338587490115</v>
      </c>
      <c r="AC15" s="56">
        <f t="shared" si="4"/>
        <v>53.649171264053869</v>
      </c>
      <c r="AD15" s="62">
        <f t="shared" si="5"/>
        <v>45.985003940617602</v>
      </c>
      <c r="AE15" s="10" t="s">
        <v>5</v>
      </c>
    </row>
    <row r="16" spans="1:31" x14ac:dyDescent="0.25">
      <c r="A16" s="48">
        <f>'PROY TDPA'!A17</f>
        <v>2030</v>
      </c>
      <c r="B16" s="253">
        <f>SUM('PROY TDPA'!C17:E17)</f>
        <v>478.05762535952385</v>
      </c>
      <c r="C16" s="254">
        <f>(B15*C15)/B16</f>
        <v>57.793702127900957</v>
      </c>
      <c r="D16" s="56">
        <f t="shared" si="13"/>
        <v>50.569489361913355</v>
      </c>
      <c r="E16" s="62">
        <f t="shared" si="7"/>
        <v>43.345276595925725</v>
      </c>
      <c r="F16" s="253">
        <f>SUM('PROY TDPA'!F17:H17)</f>
        <v>497.02024515457816</v>
      </c>
      <c r="G16" s="254">
        <f t="shared" si="8"/>
        <v>57.79370212790095</v>
      </c>
      <c r="H16" s="56">
        <f t="shared" si="9"/>
        <v>50.569489361913348</v>
      </c>
      <c r="I16" s="57">
        <f t="shared" si="10"/>
        <v>43.345276595925725</v>
      </c>
      <c r="J16" s="1"/>
      <c r="K16" s="10" t="s">
        <v>5</v>
      </c>
      <c r="L16" s="5"/>
      <c r="M16" s="76"/>
      <c r="N16" s="76"/>
      <c r="O16" s="5"/>
      <c r="P16" s="1"/>
      <c r="R16" s="1"/>
      <c r="S16" s="1"/>
      <c r="T16" s="1"/>
      <c r="U16" s="1"/>
      <c r="V16" s="1"/>
      <c r="W16" s="48">
        <f t="shared" si="0"/>
        <v>2029</v>
      </c>
      <c r="X16" s="7">
        <f t="shared" si="1"/>
        <v>946.67754418844856</v>
      </c>
      <c r="Y16" s="56">
        <f t="shared" si="11"/>
        <v>59.527513191737988</v>
      </c>
      <c r="Z16" s="56">
        <f t="shared" si="12"/>
        <v>52.086574042770749</v>
      </c>
      <c r="AA16" s="62">
        <f t="shared" si="2"/>
        <v>44.645634893803489</v>
      </c>
      <c r="AB16" s="7">
        <f t="shared" si="3"/>
        <v>59.527513191737974</v>
      </c>
      <c r="AC16" s="56">
        <f t="shared" si="4"/>
        <v>52.086574042770749</v>
      </c>
      <c r="AD16" s="62">
        <f t="shared" si="5"/>
        <v>44.645634893803496</v>
      </c>
      <c r="AE16" s="10" t="s">
        <v>5</v>
      </c>
    </row>
    <row r="17" spans="1:31" x14ac:dyDescent="0.25">
      <c r="A17" s="48">
        <f>'PROY TDPA'!A18</f>
        <v>2031</v>
      </c>
      <c r="B17" s="253">
        <f>SUM('PROY TDPA'!C18:E18)</f>
        <v>492.39935412030962</v>
      </c>
      <c r="C17" s="254">
        <f t="shared" si="6"/>
        <v>56.11039041543782</v>
      </c>
      <c r="D17" s="56">
        <f t="shared" si="13"/>
        <v>49.096591613508103</v>
      </c>
      <c r="E17" s="62">
        <f t="shared" si="7"/>
        <v>42.082792811578365</v>
      </c>
      <c r="F17" s="253">
        <f>SUM('PROY TDPA'!F18:H18)</f>
        <v>511.93085250921553</v>
      </c>
      <c r="G17" s="254">
        <f t="shared" si="8"/>
        <v>56.110390415437813</v>
      </c>
      <c r="H17" s="56">
        <f t="shared" si="9"/>
        <v>49.096591613508103</v>
      </c>
      <c r="I17" s="57">
        <f t="shared" si="10"/>
        <v>42.082792811578372</v>
      </c>
      <c r="J17" s="1"/>
      <c r="K17" s="10" t="s">
        <v>5</v>
      </c>
      <c r="L17" s="5"/>
      <c r="M17" s="76"/>
      <c r="N17" s="76"/>
      <c r="O17" s="5"/>
      <c r="P17" s="1"/>
      <c r="Q17" s="1"/>
      <c r="R17" s="1"/>
      <c r="S17" s="1"/>
      <c r="T17" s="1"/>
      <c r="U17" s="1"/>
      <c r="V17" s="1"/>
      <c r="W17" s="48">
        <f t="shared" si="0"/>
        <v>2030</v>
      </c>
      <c r="X17" s="7">
        <f t="shared" si="1"/>
        <v>975.07787051410196</v>
      </c>
      <c r="Y17" s="56">
        <f t="shared" si="11"/>
        <v>57.793702127900957</v>
      </c>
      <c r="Z17" s="56">
        <f t="shared" si="12"/>
        <v>50.569489361913355</v>
      </c>
      <c r="AA17" s="62">
        <f t="shared" si="2"/>
        <v>43.345276595925725</v>
      </c>
      <c r="AB17" s="7">
        <f t="shared" si="3"/>
        <v>57.79370212790095</v>
      </c>
      <c r="AC17" s="56">
        <f t="shared" si="4"/>
        <v>50.569489361913348</v>
      </c>
      <c r="AD17" s="62">
        <f t="shared" si="5"/>
        <v>43.345276595925725</v>
      </c>
      <c r="AE17" s="10" t="s">
        <v>5</v>
      </c>
    </row>
    <row r="18" spans="1:31" x14ac:dyDescent="0.25">
      <c r="A18" s="48">
        <f>'PROY TDPA'!A19</f>
        <v>2032</v>
      </c>
      <c r="B18" s="253">
        <f>SUM('PROY TDPA'!C19:E19)</f>
        <v>507.17133474391892</v>
      </c>
      <c r="C18" s="254">
        <f>(B17*C17)/B18</f>
        <v>54.476107199454191</v>
      </c>
      <c r="D18" s="56">
        <f>(B17*D17)/B18</f>
        <v>47.666593799522431</v>
      </c>
      <c r="E18" s="62">
        <f t="shared" si="7"/>
        <v>40.85708039959065</v>
      </c>
      <c r="F18" s="253">
        <f>SUM('PROY TDPA'!F19:H19)</f>
        <v>527.28877808449204</v>
      </c>
      <c r="G18" s="254">
        <f t="shared" si="8"/>
        <v>54.476107199454184</v>
      </c>
      <c r="H18" s="56">
        <f t="shared" si="9"/>
        <v>47.666593799522424</v>
      </c>
      <c r="I18" s="57">
        <f t="shared" si="10"/>
        <v>40.85708039959065</v>
      </c>
      <c r="J18" s="1"/>
      <c r="K18" s="10" t="s">
        <v>5</v>
      </c>
      <c r="L18" s="5"/>
      <c r="M18" s="76"/>
      <c r="N18" s="76"/>
      <c r="O18" s="5"/>
      <c r="P18" s="1"/>
      <c r="Q18" s="1"/>
      <c r="R18" s="1"/>
      <c r="S18" s="1"/>
      <c r="T18" s="1"/>
      <c r="U18" s="1"/>
      <c r="V18" s="1"/>
      <c r="W18" s="48">
        <f t="shared" si="0"/>
        <v>2031</v>
      </c>
      <c r="X18" s="7">
        <f t="shared" si="1"/>
        <v>1004.3302066295252</v>
      </c>
      <c r="Y18" s="56">
        <f t="shared" si="11"/>
        <v>56.11039041543782</v>
      </c>
      <c r="Z18" s="56">
        <f t="shared" si="12"/>
        <v>49.096591613508103</v>
      </c>
      <c r="AA18" s="62">
        <f t="shared" si="2"/>
        <v>42.082792811578365</v>
      </c>
      <c r="AB18" s="7">
        <f t="shared" si="3"/>
        <v>56.110390415437813</v>
      </c>
      <c r="AC18" s="56">
        <f t="shared" si="4"/>
        <v>49.096591613508103</v>
      </c>
      <c r="AD18" s="62">
        <f t="shared" si="5"/>
        <v>42.082792811578372</v>
      </c>
      <c r="AE18" s="10" t="s">
        <v>5</v>
      </c>
    </row>
    <row r="19" spans="1:31" x14ac:dyDescent="0.25">
      <c r="A19" s="48">
        <f>'PROY TDPA'!A20</f>
        <v>2033</v>
      </c>
      <c r="B19" s="253">
        <f>SUM('PROY TDPA'!C20:E20)</f>
        <v>522.38647478623648</v>
      </c>
      <c r="C19" s="254">
        <f t="shared" si="6"/>
        <v>52.889424465489512</v>
      </c>
      <c r="D19" s="56">
        <f>(B18*D18)/B19</f>
        <v>46.278246407303335</v>
      </c>
      <c r="E19" s="62">
        <f t="shared" si="7"/>
        <v>39.667068349117137</v>
      </c>
      <c r="F19" s="253">
        <f>SUM('PROY TDPA'!F20:H20)</f>
        <v>543.10744142702674</v>
      </c>
      <c r="G19" s="254">
        <f t="shared" si="8"/>
        <v>52.889424465489505</v>
      </c>
      <c r="H19" s="56">
        <f t="shared" si="9"/>
        <v>46.278246407303328</v>
      </c>
      <c r="I19" s="57">
        <f t="shared" si="10"/>
        <v>39.667068349117137</v>
      </c>
      <c r="J19" s="1"/>
      <c r="K19" s="10" t="s">
        <v>5</v>
      </c>
      <c r="L19" s="5"/>
      <c r="M19" s="1"/>
      <c r="N19" s="1"/>
      <c r="O19" s="1"/>
      <c r="P19" s="1"/>
      <c r="Q19" s="1"/>
      <c r="R19" s="1"/>
      <c r="S19" s="1"/>
      <c r="T19" s="1"/>
      <c r="U19" s="1"/>
      <c r="V19" s="1"/>
      <c r="W19" s="48">
        <f t="shared" si="0"/>
        <v>2032</v>
      </c>
      <c r="X19" s="7">
        <f t="shared" si="1"/>
        <v>1034.460112828411</v>
      </c>
      <c r="Y19" s="56">
        <f t="shared" si="11"/>
        <v>54.476107199454191</v>
      </c>
      <c r="Z19" s="56">
        <f t="shared" si="12"/>
        <v>47.666593799522431</v>
      </c>
      <c r="AA19" s="62">
        <f t="shared" si="2"/>
        <v>40.85708039959065</v>
      </c>
      <c r="AB19" s="7">
        <f t="shared" si="3"/>
        <v>54.476107199454184</v>
      </c>
      <c r="AC19" s="56">
        <f t="shared" si="4"/>
        <v>47.666593799522424</v>
      </c>
      <c r="AD19" s="62">
        <f t="shared" si="5"/>
        <v>40.85708039959065</v>
      </c>
      <c r="AE19" s="10" t="s">
        <v>5</v>
      </c>
    </row>
    <row r="20" spans="1:31" ht="15.75" thickBot="1" x14ac:dyDescent="0.3">
      <c r="A20" s="179">
        <f>'PROY TDPA'!A21</f>
        <v>2034</v>
      </c>
      <c r="B20" s="255">
        <f>SUM('PROY TDPA'!C21:E21)</f>
        <v>538.05806902982363</v>
      </c>
      <c r="C20" s="256">
        <f>(B19*C19)/B20</f>
        <v>51.348955791737382</v>
      </c>
      <c r="D20" s="182">
        <f>(B19*D19)/B20</f>
        <v>44.93033631777022</v>
      </c>
      <c r="E20" s="183">
        <f t="shared" si="7"/>
        <v>38.511716843803036</v>
      </c>
      <c r="F20" s="255">
        <f>SUM('PROY TDPA'!F21:H21)</f>
        <v>559.40066466983762</v>
      </c>
      <c r="G20" s="256">
        <f t="shared" si="8"/>
        <v>51.348955791737374</v>
      </c>
      <c r="H20" s="182">
        <f t="shared" si="9"/>
        <v>44.930336317770212</v>
      </c>
      <c r="I20" s="257">
        <f t="shared" si="10"/>
        <v>38.511716843803043</v>
      </c>
      <c r="J20" s="184"/>
      <c r="K20" s="185" t="s">
        <v>5</v>
      </c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48">
        <f t="shared" si="0"/>
        <v>2033</v>
      </c>
      <c r="X20" s="7">
        <f t="shared" si="1"/>
        <v>1065.4939162132632</v>
      </c>
      <c r="Y20" s="4">
        <f t="shared" si="11"/>
        <v>52.889424465489512</v>
      </c>
      <c r="Z20" s="56">
        <f t="shared" si="12"/>
        <v>46.278246407303335</v>
      </c>
      <c r="AA20" s="62">
        <f t="shared" si="2"/>
        <v>39.667068349117137</v>
      </c>
      <c r="AB20" s="7">
        <f t="shared" si="3"/>
        <v>52.889424465489505</v>
      </c>
      <c r="AC20" s="56">
        <f t="shared" si="4"/>
        <v>46.278246407303328</v>
      </c>
      <c r="AD20" s="62">
        <f t="shared" si="5"/>
        <v>39.667068349117137</v>
      </c>
      <c r="AE20" s="10" t="s">
        <v>5</v>
      </c>
    </row>
    <row r="21" spans="1:31" ht="15" customHeight="1" thickBot="1" x14ac:dyDescent="0.3">
      <c r="A21" s="1"/>
      <c r="B21" s="1"/>
      <c r="C21" s="1"/>
      <c r="D21" s="1"/>
      <c r="E21" s="1"/>
      <c r="F21" s="7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79">
        <f t="shared" si="0"/>
        <v>2034</v>
      </c>
      <c r="X21" s="180">
        <f t="shared" si="1"/>
        <v>1097.4587336996613</v>
      </c>
      <c r="Y21" s="181">
        <f t="shared" si="11"/>
        <v>51.348955791737382</v>
      </c>
      <c r="Z21" s="182">
        <f t="shared" si="12"/>
        <v>44.93033631777022</v>
      </c>
      <c r="AA21" s="183">
        <f t="shared" si="2"/>
        <v>38.511716843803036</v>
      </c>
      <c r="AB21" s="180">
        <f t="shared" si="3"/>
        <v>51.348955791737374</v>
      </c>
      <c r="AC21" s="182">
        <f t="shared" si="4"/>
        <v>44.930336317770212</v>
      </c>
      <c r="AD21" s="183">
        <f t="shared" si="5"/>
        <v>38.511716843803043</v>
      </c>
      <c r="AE21" s="185" t="s">
        <v>5</v>
      </c>
    </row>
  </sheetData>
  <mergeCells count="15">
    <mergeCell ref="R2:U2"/>
    <mergeCell ref="A2:I2"/>
    <mergeCell ref="M3:M4"/>
    <mergeCell ref="Q3:Q4"/>
    <mergeCell ref="U3:U4"/>
    <mergeCell ref="N2:Q2"/>
    <mergeCell ref="A3:A4"/>
    <mergeCell ref="K3:K4"/>
    <mergeCell ref="B3:E3"/>
    <mergeCell ref="F3:I3"/>
    <mergeCell ref="W4:W5"/>
    <mergeCell ref="AB4:AD4"/>
    <mergeCell ref="AE4:AE5"/>
    <mergeCell ref="X4:X5"/>
    <mergeCell ref="Y4:A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AA23"/>
  <sheetViews>
    <sheetView zoomScale="70" zoomScaleNormal="70" workbookViewId="0">
      <selection activeCell="F40" sqref="F40"/>
    </sheetView>
  </sheetViews>
  <sheetFormatPr baseColWidth="10" defaultRowHeight="15" x14ac:dyDescent="0.25"/>
  <cols>
    <col min="1" max="1" width="5.140625" bestFit="1" customWidth="1"/>
    <col min="2" max="7" width="7.140625" customWidth="1"/>
    <col min="8" max="8" width="23.42578125" customWidth="1"/>
    <col min="9" max="9" width="10.85546875" customWidth="1"/>
    <col min="10" max="10" width="13" bestFit="1" customWidth="1"/>
    <col min="11" max="11" width="0" hidden="1" customWidth="1"/>
    <col min="12" max="12" width="6.28515625" hidden="1" customWidth="1"/>
    <col min="13" max="15" width="3.85546875" hidden="1" customWidth="1"/>
    <col min="16" max="18" width="6" hidden="1" customWidth="1"/>
    <col min="19" max="19" width="16.42578125" hidden="1" customWidth="1"/>
    <col min="20" max="22" width="3.5703125" hidden="1" customWidth="1"/>
    <col min="23" max="25" width="5.140625" hidden="1" customWidth="1"/>
    <col min="26" max="26" width="16.42578125" hidden="1" customWidth="1"/>
    <col min="27" max="27" width="0" hidden="1" customWidth="1"/>
  </cols>
  <sheetData>
    <row r="2" spans="1:27" x14ac:dyDescent="0.25">
      <c r="A2" s="337" t="s">
        <v>12</v>
      </c>
      <c r="B2" s="337"/>
      <c r="C2" s="337"/>
      <c r="D2" s="337"/>
      <c r="E2" s="337"/>
      <c r="F2" s="337"/>
      <c r="G2" s="337"/>
      <c r="H2" s="337"/>
      <c r="I2" s="18" t="s">
        <v>13</v>
      </c>
      <c r="J2" s="18" t="s">
        <v>14</v>
      </c>
      <c r="K2" s="16"/>
    </row>
    <row r="3" spans="1:27" x14ac:dyDescent="0.25">
      <c r="A3" s="293" t="str">
        <f>Velocidad!A2</f>
        <v>Av. Crecer en Grande</v>
      </c>
      <c r="B3" s="293"/>
      <c r="C3" s="293"/>
      <c r="D3" s="293"/>
      <c r="E3" s="293"/>
      <c r="F3" s="293"/>
      <c r="G3" s="293"/>
      <c r="H3" s="17"/>
      <c r="I3" s="18" t="s">
        <v>15</v>
      </c>
      <c r="J3" s="16">
        <v>1.77233</v>
      </c>
      <c r="K3" s="16"/>
    </row>
    <row r="4" spans="1:27" ht="29.25" customHeight="1" x14ac:dyDescent="0.25">
      <c r="A4" s="331" t="s">
        <v>1</v>
      </c>
      <c r="B4" s="338" t="s">
        <v>62</v>
      </c>
      <c r="C4" s="339"/>
      <c r="D4" s="340"/>
      <c r="E4" s="341" t="s">
        <v>63</v>
      </c>
      <c r="F4" s="341"/>
      <c r="G4" s="341"/>
      <c r="H4" s="17"/>
      <c r="I4" s="18"/>
      <c r="J4" s="16"/>
      <c r="K4" s="16"/>
      <c r="L4" s="336" t="s">
        <v>1</v>
      </c>
      <c r="M4" s="335" t="s">
        <v>62</v>
      </c>
      <c r="N4" s="335"/>
      <c r="O4" s="335"/>
      <c r="P4" s="335"/>
      <c r="Q4" s="335"/>
      <c r="R4" s="335"/>
      <c r="S4" s="335"/>
      <c r="T4" s="335" t="s">
        <v>63</v>
      </c>
      <c r="U4" s="335"/>
      <c r="V4" s="335"/>
      <c r="W4" s="335"/>
      <c r="X4" s="335"/>
      <c r="Y4" s="335"/>
      <c r="Z4" s="335"/>
    </row>
    <row r="5" spans="1:27" ht="15.75" customHeight="1" thickBot="1" x14ac:dyDescent="0.3">
      <c r="A5" s="332"/>
      <c r="B5" s="154" t="s">
        <v>5</v>
      </c>
      <c r="C5" s="153" t="s">
        <v>6</v>
      </c>
      <c r="D5" s="186" t="s">
        <v>7</v>
      </c>
      <c r="E5" s="150" t="s">
        <v>5</v>
      </c>
      <c r="F5" s="150" t="s">
        <v>6</v>
      </c>
      <c r="G5" s="187" t="s">
        <v>7</v>
      </c>
      <c r="H5" s="17"/>
      <c r="I5" s="16"/>
      <c r="J5" s="16"/>
      <c r="K5" s="16"/>
      <c r="L5" s="336"/>
      <c r="M5" s="334" t="s">
        <v>89</v>
      </c>
      <c r="N5" s="334"/>
      <c r="O5" s="334"/>
      <c r="P5" s="334" t="s">
        <v>90</v>
      </c>
      <c r="Q5" s="334"/>
      <c r="R5" s="334"/>
      <c r="S5" s="333" t="s">
        <v>3</v>
      </c>
      <c r="T5" s="334" t="s">
        <v>89</v>
      </c>
      <c r="U5" s="334"/>
      <c r="V5" s="334"/>
      <c r="W5" s="334" t="s">
        <v>90</v>
      </c>
      <c r="X5" s="334"/>
      <c r="Y5" s="334"/>
      <c r="Z5" s="333" t="s">
        <v>3</v>
      </c>
    </row>
    <row r="6" spans="1:27" ht="15.75" thickTop="1" x14ac:dyDescent="0.25">
      <c r="A6" s="242">
        <f>Velocidad!A5</f>
        <v>2019</v>
      </c>
      <c r="B6" s="102">
        <f>$J$3/Velocidad!C5</f>
        <v>2.2154125E-2</v>
      </c>
      <c r="C6" s="103">
        <f>$J$3/Velocidad!D5</f>
        <v>2.5318999999999998E-2</v>
      </c>
      <c r="D6" s="103">
        <f>$J$3/Velocidad!E5</f>
        <v>2.9538833333333334E-2</v>
      </c>
      <c r="E6" s="102">
        <f>$J$3/Velocidad!G5</f>
        <v>2.2154125E-2</v>
      </c>
      <c r="F6" s="103">
        <f>$J$3/Velocidad!H5</f>
        <v>2.5318999999999998E-2</v>
      </c>
      <c r="G6" s="103">
        <f>$J$3/Velocidad!I5</f>
        <v>2.9538833333333334E-2</v>
      </c>
      <c r="H6" s="17"/>
      <c r="I6" s="16"/>
      <c r="J6" s="16"/>
      <c r="K6" s="16"/>
      <c r="L6" s="336"/>
      <c r="M6" s="261" t="s">
        <v>5</v>
      </c>
      <c r="N6" s="261" t="s">
        <v>6</v>
      </c>
      <c r="O6" s="261" t="s">
        <v>7</v>
      </c>
      <c r="P6" s="261" t="s">
        <v>5</v>
      </c>
      <c r="Q6" s="261" t="s">
        <v>6</v>
      </c>
      <c r="R6" s="261" t="s">
        <v>7</v>
      </c>
      <c r="S6" s="333"/>
      <c r="T6" s="261" t="s">
        <v>5</v>
      </c>
      <c r="U6" s="261" t="s">
        <v>6</v>
      </c>
      <c r="V6" s="261" t="s">
        <v>7</v>
      </c>
      <c r="W6" s="261" t="s">
        <v>5</v>
      </c>
      <c r="X6" s="261" t="s">
        <v>6</v>
      </c>
      <c r="Y6" s="261" t="s">
        <v>7</v>
      </c>
      <c r="Z6" s="333"/>
    </row>
    <row r="7" spans="1:27" x14ac:dyDescent="0.25">
      <c r="A7" s="243">
        <f>Velocidad!A6</f>
        <v>2020</v>
      </c>
      <c r="B7" s="105">
        <f>$J$3/Velocidad!C6</f>
        <v>2.2818748749999996E-2</v>
      </c>
      <c r="C7" s="104">
        <f>$J$3/Velocidad!D6</f>
        <v>2.6078569999999999E-2</v>
      </c>
      <c r="D7" s="104">
        <f>$J$3/Velocidad!E6</f>
        <v>3.0424998333333331E-2</v>
      </c>
      <c r="E7" s="105">
        <f>$J$3/Velocidad!G6</f>
        <v>2.2818748749999996E-2</v>
      </c>
      <c r="F7" s="104">
        <f>$J$3/Velocidad!H6</f>
        <v>2.6078569999999992E-2</v>
      </c>
      <c r="G7" s="104">
        <f>$J$3/Velocidad!I6</f>
        <v>3.0424998333333328E-2</v>
      </c>
      <c r="H7" s="17"/>
      <c r="I7" s="16"/>
      <c r="J7" s="16"/>
      <c r="K7" s="21"/>
      <c r="L7" s="262">
        <f t="shared" ref="L7:L22" si="0">A6</f>
        <v>2019</v>
      </c>
      <c r="M7" s="263">
        <f>Velocidad!C5</f>
        <v>80</v>
      </c>
      <c r="N7" s="263">
        <f>Velocidad!D5</f>
        <v>70</v>
      </c>
      <c r="O7" s="263">
        <f>Velocidad!E5</f>
        <v>60</v>
      </c>
      <c r="P7" s="264">
        <f>$J$3/Velocidad!N5</f>
        <v>2.2154125E-2</v>
      </c>
      <c r="Q7" s="264">
        <f>$J$3/Velocidad!O5</f>
        <v>2.5318999999999998E-2</v>
      </c>
      <c r="R7" s="264">
        <f>$J$3/Velocidad!P5</f>
        <v>2.9538833333333334E-2</v>
      </c>
      <c r="S7" s="264" t="str">
        <f>Velocidad!K5</f>
        <v>A</v>
      </c>
      <c r="T7" s="263">
        <f>Velocidad!G5</f>
        <v>80</v>
      </c>
      <c r="U7" s="263">
        <f>Velocidad!H5</f>
        <v>70</v>
      </c>
      <c r="V7" s="263">
        <f>Velocidad!I5</f>
        <v>60</v>
      </c>
      <c r="W7" s="264">
        <f>E6</f>
        <v>2.2154125E-2</v>
      </c>
      <c r="X7" s="264">
        <f t="shared" ref="X7:Y7" si="1">F6</f>
        <v>2.5318999999999998E-2</v>
      </c>
      <c r="Y7" s="264">
        <f t="shared" si="1"/>
        <v>2.9538833333333334E-2</v>
      </c>
      <c r="Z7" s="264" t="str">
        <f>S7</f>
        <v>A</v>
      </c>
      <c r="AA7" s="200"/>
    </row>
    <row r="8" spans="1:27" x14ac:dyDescent="0.25">
      <c r="A8" s="243">
        <f>Velocidad!A7</f>
        <v>2021</v>
      </c>
      <c r="B8" s="105">
        <f>$J$3/Velocidad!C7</f>
        <v>2.3503311212500003E-2</v>
      </c>
      <c r="C8" s="104">
        <f>$J$3/Velocidad!D7</f>
        <v>2.6860927099999998E-2</v>
      </c>
      <c r="D8" s="104">
        <f>$J$3/Velocidad!E7</f>
        <v>3.1337748283333335E-2</v>
      </c>
      <c r="E8" s="105">
        <f>$J$3/Velocidad!G7</f>
        <v>2.3503311212500003E-2</v>
      </c>
      <c r="F8" s="104">
        <f>$J$3/Velocidad!H7</f>
        <v>2.6860927099999998E-2</v>
      </c>
      <c r="G8" s="104">
        <f>$J$3/Velocidad!I7</f>
        <v>3.1337748283333335E-2</v>
      </c>
      <c r="H8" s="17"/>
      <c r="I8" s="16"/>
      <c r="J8" s="16"/>
      <c r="K8" s="16"/>
      <c r="L8" s="262">
        <f t="shared" si="0"/>
        <v>2020</v>
      </c>
      <c r="M8" s="263">
        <f>Velocidad!C6</f>
        <v>77.669902912621367</v>
      </c>
      <c r="N8" s="263">
        <f>Velocidad!D6</f>
        <v>67.961165048543691</v>
      </c>
      <c r="O8" s="263">
        <f>Velocidad!E6</f>
        <v>58.252427184466022</v>
      </c>
      <c r="P8" s="264">
        <f t="shared" ref="P8:P22" si="2">B7</f>
        <v>2.2818748749999996E-2</v>
      </c>
      <c r="Q8" s="264">
        <f t="shared" ref="Q8:Q22" si="3">C7</f>
        <v>2.6078569999999999E-2</v>
      </c>
      <c r="R8" s="264">
        <f t="shared" ref="R8:R22" si="4">D7</f>
        <v>3.0424998333333331E-2</v>
      </c>
      <c r="S8" s="264" t="str">
        <f>Velocidad!K6</f>
        <v>A</v>
      </c>
      <c r="T8" s="263">
        <f>Velocidad!G6</f>
        <v>77.669902912621367</v>
      </c>
      <c r="U8" s="263">
        <f>Velocidad!H6</f>
        <v>67.961165048543705</v>
      </c>
      <c r="V8" s="263">
        <f>Velocidad!I6</f>
        <v>58.252427184466029</v>
      </c>
      <c r="W8" s="264">
        <f t="shared" ref="W8:W22" si="5">E7</f>
        <v>2.2818748749999996E-2</v>
      </c>
      <c r="X8" s="264">
        <f t="shared" ref="X8:X22" si="6">F7</f>
        <v>2.6078569999999992E-2</v>
      </c>
      <c r="Y8" s="264">
        <f t="shared" ref="Y8:Y22" si="7">G7</f>
        <v>3.0424998333333328E-2</v>
      </c>
      <c r="Z8" s="264" t="str">
        <f t="shared" ref="Z8:Z22" si="8">S8</f>
        <v>A</v>
      </c>
      <c r="AA8" s="200"/>
    </row>
    <row r="9" spans="1:27" x14ac:dyDescent="0.25">
      <c r="A9" s="243">
        <f>Velocidad!A8</f>
        <v>2022</v>
      </c>
      <c r="B9" s="20">
        <f>$J$3/Velocidad!C8</f>
        <v>2.4208410548875008E-2</v>
      </c>
      <c r="C9" s="19">
        <f>$J$3/Velocidad!D8</f>
        <v>2.7666754913E-2</v>
      </c>
      <c r="D9" s="19">
        <f>$J$3/Velocidad!E8</f>
        <v>3.2277880731833339E-2</v>
      </c>
      <c r="E9" s="20">
        <f>$J$3/Velocidad!G8</f>
        <v>2.4208410548875008E-2</v>
      </c>
      <c r="F9" s="19">
        <f>$J$3/Velocidad!H8</f>
        <v>2.7666754913E-2</v>
      </c>
      <c r="G9" s="19">
        <f>$J$3/Velocidad!I8</f>
        <v>3.2277880731833339E-2</v>
      </c>
      <c r="H9" s="17"/>
      <c r="I9" s="16"/>
      <c r="J9" s="16"/>
      <c r="K9" s="16"/>
      <c r="L9" s="262">
        <f t="shared" si="0"/>
        <v>2021</v>
      </c>
      <c r="M9" s="263">
        <f>Velocidad!C7</f>
        <v>75.407672730700341</v>
      </c>
      <c r="N9" s="263">
        <f>Velocidad!D7</f>
        <v>65.981713639362809</v>
      </c>
      <c r="O9" s="263">
        <f>Velocidad!E7</f>
        <v>56.555754548025256</v>
      </c>
      <c r="P9" s="264">
        <f t="shared" si="2"/>
        <v>2.3503311212500003E-2</v>
      </c>
      <c r="Q9" s="264">
        <f t="shared" si="3"/>
        <v>2.6860927099999998E-2</v>
      </c>
      <c r="R9" s="264">
        <f t="shared" si="4"/>
        <v>3.1337748283333335E-2</v>
      </c>
      <c r="S9" s="264" t="str">
        <f>Velocidad!K7</f>
        <v>A</v>
      </c>
      <c r="T9" s="263">
        <f>Velocidad!G7</f>
        <v>75.407672730700341</v>
      </c>
      <c r="U9" s="263">
        <f>Velocidad!H7</f>
        <v>65.981713639362809</v>
      </c>
      <c r="V9" s="263">
        <f>Velocidad!I7</f>
        <v>56.555754548025256</v>
      </c>
      <c r="W9" s="264">
        <f t="shared" si="5"/>
        <v>2.3503311212500003E-2</v>
      </c>
      <c r="X9" s="264">
        <f t="shared" si="6"/>
        <v>2.6860927099999998E-2</v>
      </c>
      <c r="Y9" s="264">
        <f t="shared" si="7"/>
        <v>3.1337748283333335E-2</v>
      </c>
      <c r="Z9" s="264" t="str">
        <f t="shared" si="8"/>
        <v>A</v>
      </c>
      <c r="AA9" s="200"/>
    </row>
    <row r="10" spans="1:27" x14ac:dyDescent="0.25">
      <c r="A10" s="243">
        <f>Velocidad!A9</f>
        <v>2023</v>
      </c>
      <c r="B10" s="20">
        <f>$J$3/Velocidad!C9</f>
        <v>2.4934662865341253E-2</v>
      </c>
      <c r="C10" s="19">
        <f>$J$3/Velocidad!D9</f>
        <v>2.8496757560389996E-2</v>
      </c>
      <c r="D10" s="19">
        <f>$J$3/Velocidad!E9</f>
        <v>3.3246217153788338E-2</v>
      </c>
      <c r="E10" s="20">
        <f>$J$3/Velocidad!G9</f>
        <v>2.4934662865341257E-2</v>
      </c>
      <c r="F10" s="19">
        <f>$J$3/Velocidad!H9</f>
        <v>2.8496757560390003E-2</v>
      </c>
      <c r="G10" s="19">
        <f>$J$3/Velocidad!I9</f>
        <v>3.3246217153788338E-2</v>
      </c>
      <c r="H10" s="17"/>
      <c r="I10" s="16"/>
      <c r="J10" s="16"/>
      <c r="K10" s="16"/>
      <c r="L10" s="262">
        <f t="shared" si="0"/>
        <v>2022</v>
      </c>
      <c r="M10" s="263">
        <f>Velocidad!C8</f>
        <v>73.211332748252744</v>
      </c>
      <c r="N10" s="263">
        <f>Velocidad!D8</f>
        <v>64.059916154721165</v>
      </c>
      <c r="O10" s="263">
        <f>Velocidad!E8</f>
        <v>54.908499561189565</v>
      </c>
      <c r="P10" s="264">
        <f t="shared" si="2"/>
        <v>2.4208410548875008E-2</v>
      </c>
      <c r="Q10" s="264">
        <f t="shared" si="3"/>
        <v>2.7666754913E-2</v>
      </c>
      <c r="R10" s="264">
        <f t="shared" si="4"/>
        <v>3.2277880731833339E-2</v>
      </c>
      <c r="S10" s="264" t="str">
        <f>Velocidad!K8</f>
        <v>A</v>
      </c>
      <c r="T10" s="263">
        <f>Velocidad!G8</f>
        <v>73.211332748252744</v>
      </c>
      <c r="U10" s="263">
        <f>Velocidad!H8</f>
        <v>64.059916154721165</v>
      </c>
      <c r="V10" s="263">
        <f>Velocidad!I8</f>
        <v>54.908499561189565</v>
      </c>
      <c r="W10" s="264">
        <f t="shared" si="5"/>
        <v>2.4208410548875008E-2</v>
      </c>
      <c r="X10" s="264">
        <f t="shared" si="6"/>
        <v>2.7666754913E-2</v>
      </c>
      <c r="Y10" s="264">
        <f t="shared" si="7"/>
        <v>3.2277880731833339E-2</v>
      </c>
      <c r="Z10" s="264" t="str">
        <f t="shared" si="8"/>
        <v>A</v>
      </c>
      <c r="AA10" s="200"/>
    </row>
    <row r="11" spans="1:27" x14ac:dyDescent="0.25">
      <c r="A11" s="243">
        <f>Velocidad!A10</f>
        <v>2024</v>
      </c>
      <c r="B11" s="20">
        <f>$J$3/Velocidad!C10</f>
        <v>2.5682702751301491E-2</v>
      </c>
      <c r="C11" s="19">
        <f>$J$3/Velocidad!D10</f>
        <v>2.9351660287201698E-2</v>
      </c>
      <c r="D11" s="19">
        <f>$J$3/Velocidad!E10</f>
        <v>3.4243603668401991E-2</v>
      </c>
      <c r="E11" s="20">
        <f>$J$3/Velocidad!G10</f>
        <v>2.5682702751301491E-2</v>
      </c>
      <c r="F11" s="19">
        <f>$J$3/Velocidad!H10</f>
        <v>2.9351660287201698E-2</v>
      </c>
      <c r="G11" s="19">
        <f>$J$3/Velocidad!I10</f>
        <v>3.4243603668401984E-2</v>
      </c>
      <c r="H11" s="17"/>
      <c r="I11" s="16"/>
      <c r="J11" s="16"/>
      <c r="K11" s="16"/>
      <c r="L11" s="262">
        <f t="shared" si="0"/>
        <v>2023</v>
      </c>
      <c r="M11" s="263">
        <f>Velocidad!C9</f>
        <v>71.078963833255102</v>
      </c>
      <c r="N11" s="263">
        <f>Velocidad!D9</f>
        <v>62.194093354098229</v>
      </c>
      <c r="O11" s="263">
        <f>Velocidad!E9</f>
        <v>53.309222874941327</v>
      </c>
      <c r="P11" s="264">
        <f t="shared" si="2"/>
        <v>2.4934662865341253E-2</v>
      </c>
      <c r="Q11" s="264">
        <f t="shared" si="3"/>
        <v>2.8496757560389996E-2</v>
      </c>
      <c r="R11" s="264">
        <f t="shared" si="4"/>
        <v>3.3246217153788338E-2</v>
      </c>
      <c r="S11" s="264" t="str">
        <f>Velocidad!K9</f>
        <v>A</v>
      </c>
      <c r="T11" s="263">
        <f>Velocidad!G9</f>
        <v>71.078963833255088</v>
      </c>
      <c r="U11" s="263">
        <f>Velocidad!H9</f>
        <v>62.194093354098214</v>
      </c>
      <c r="V11" s="263">
        <f>Velocidad!I9</f>
        <v>53.309222874941327</v>
      </c>
      <c r="W11" s="264">
        <f t="shared" si="5"/>
        <v>2.4934662865341257E-2</v>
      </c>
      <c r="X11" s="264">
        <f t="shared" si="6"/>
        <v>2.8496757560390003E-2</v>
      </c>
      <c r="Y11" s="264">
        <f t="shared" si="7"/>
        <v>3.3246217153788338E-2</v>
      </c>
      <c r="Z11" s="264" t="str">
        <f t="shared" si="8"/>
        <v>A</v>
      </c>
      <c r="AA11" s="200"/>
    </row>
    <row r="12" spans="1:27" x14ac:dyDescent="0.25">
      <c r="A12" s="243">
        <f>Velocidad!A11</f>
        <v>2025</v>
      </c>
      <c r="B12" s="20">
        <f>$J$3/Velocidad!C11</f>
        <v>2.645318383384054E-2</v>
      </c>
      <c r="C12" s="19">
        <f>$J$3/Velocidad!D11</f>
        <v>3.0232210095817752E-2</v>
      </c>
      <c r="D12" s="19">
        <f>$J$3/Velocidad!E11</f>
        <v>3.5270911778454053E-2</v>
      </c>
      <c r="E12" s="20">
        <f>$J$3/Velocidad!G11</f>
        <v>2.645318383384054E-2</v>
      </c>
      <c r="F12" s="19">
        <f>$J$3/Velocidad!H11</f>
        <v>3.0232210095817755E-2</v>
      </c>
      <c r="G12" s="19">
        <f>$J$3/Velocidad!I11</f>
        <v>3.5270911778454046E-2</v>
      </c>
      <c r="H12" s="17"/>
      <c r="I12" s="16"/>
      <c r="J12" s="16"/>
      <c r="K12" s="16"/>
      <c r="L12" s="262">
        <f t="shared" si="0"/>
        <v>2024</v>
      </c>
      <c r="M12" s="263">
        <f>Velocidad!C10</f>
        <v>69.008702750733107</v>
      </c>
      <c r="N12" s="263">
        <f>Velocidad!D10</f>
        <v>60.382614906891483</v>
      </c>
      <c r="O12" s="263">
        <f>Velocidad!E10</f>
        <v>51.75652706304983</v>
      </c>
      <c r="P12" s="264">
        <f t="shared" si="2"/>
        <v>2.5682702751301491E-2</v>
      </c>
      <c r="Q12" s="264">
        <f t="shared" si="3"/>
        <v>2.9351660287201698E-2</v>
      </c>
      <c r="R12" s="264">
        <f t="shared" si="4"/>
        <v>3.4243603668401991E-2</v>
      </c>
      <c r="S12" s="264" t="str">
        <f>Velocidad!K10</f>
        <v>A</v>
      </c>
      <c r="T12" s="263">
        <f>Velocidad!G10</f>
        <v>69.008702750733107</v>
      </c>
      <c r="U12" s="263">
        <f>Velocidad!H10</f>
        <v>60.382614906891483</v>
      </c>
      <c r="V12" s="263">
        <f>Velocidad!I10</f>
        <v>51.756527063049838</v>
      </c>
      <c r="W12" s="264">
        <f t="shared" si="5"/>
        <v>2.5682702751301491E-2</v>
      </c>
      <c r="X12" s="264">
        <f t="shared" si="6"/>
        <v>2.9351660287201698E-2</v>
      </c>
      <c r="Y12" s="264">
        <f t="shared" si="7"/>
        <v>3.4243603668401984E-2</v>
      </c>
      <c r="Z12" s="264" t="str">
        <f t="shared" si="8"/>
        <v>A</v>
      </c>
      <c r="AA12" s="200"/>
    </row>
    <row r="13" spans="1:27" x14ac:dyDescent="0.25">
      <c r="A13" s="243">
        <f>Velocidad!A12</f>
        <v>2026</v>
      </c>
      <c r="B13" s="20">
        <f>$J$3/Velocidad!C12</f>
        <v>2.7246779348855759E-2</v>
      </c>
      <c r="C13" s="19">
        <f>$J$3/Velocidad!D12</f>
        <v>3.1139176398692285E-2</v>
      </c>
      <c r="D13" s="19">
        <f>$J$3/Velocidad!E12</f>
        <v>3.6329039131807669E-2</v>
      </c>
      <c r="E13" s="20">
        <f>$J$3/Velocidad!G12</f>
        <v>2.7246779348855759E-2</v>
      </c>
      <c r="F13" s="19">
        <f>$J$3/Velocidad!H12</f>
        <v>3.1139176398692285E-2</v>
      </c>
      <c r="G13" s="19">
        <f>$J$3/Velocidad!I12</f>
        <v>3.6329039131807669E-2</v>
      </c>
      <c r="H13" s="17"/>
      <c r="I13" s="16"/>
      <c r="J13" s="16"/>
      <c r="K13" s="16"/>
      <c r="L13" s="262">
        <f t="shared" si="0"/>
        <v>2025</v>
      </c>
      <c r="M13" s="263">
        <f>Velocidad!C11</f>
        <v>66.998740534692331</v>
      </c>
      <c r="N13" s="263">
        <f>Velocidad!D11</f>
        <v>58.623897967855804</v>
      </c>
      <c r="O13" s="263">
        <f>Velocidad!E11</f>
        <v>50.249055401019248</v>
      </c>
      <c r="P13" s="264">
        <f t="shared" si="2"/>
        <v>2.645318383384054E-2</v>
      </c>
      <c r="Q13" s="264">
        <f t="shared" si="3"/>
        <v>3.0232210095817752E-2</v>
      </c>
      <c r="R13" s="264">
        <f t="shared" si="4"/>
        <v>3.5270911778454053E-2</v>
      </c>
      <c r="S13" s="264" t="str">
        <f>Velocidad!K11</f>
        <v>A</v>
      </c>
      <c r="T13" s="263">
        <f>Velocidad!G11</f>
        <v>66.998740534692331</v>
      </c>
      <c r="U13" s="263">
        <f>Velocidad!H11</f>
        <v>58.623897967855797</v>
      </c>
      <c r="V13" s="263">
        <f>Velocidad!I11</f>
        <v>50.249055401019255</v>
      </c>
      <c r="W13" s="264">
        <f t="shared" si="5"/>
        <v>2.645318383384054E-2</v>
      </c>
      <c r="X13" s="264">
        <f t="shared" si="6"/>
        <v>3.0232210095817755E-2</v>
      </c>
      <c r="Y13" s="264">
        <f t="shared" si="7"/>
        <v>3.5270911778454046E-2</v>
      </c>
      <c r="Z13" s="264" t="str">
        <f t="shared" si="8"/>
        <v>A</v>
      </c>
      <c r="AA13" s="200"/>
    </row>
    <row r="14" spans="1:27" x14ac:dyDescent="0.25">
      <c r="A14" s="243">
        <f>Velocidad!A13</f>
        <v>2027</v>
      </c>
      <c r="B14" s="20">
        <f>$J$3/Velocidad!C13</f>
        <v>2.806418272932143E-2</v>
      </c>
      <c r="C14" s="19">
        <f>$J$3/Velocidad!D13</f>
        <v>3.2073351690653056E-2</v>
      </c>
      <c r="D14" s="19">
        <f>$J$3/Velocidad!E13</f>
        <v>3.7418910305761902E-2</v>
      </c>
      <c r="E14" s="20">
        <f>$J$3/Velocidad!G13</f>
        <v>2.8064182729321437E-2</v>
      </c>
      <c r="F14" s="19">
        <f>$J$3/Velocidad!H13</f>
        <v>3.2073351690653062E-2</v>
      </c>
      <c r="G14" s="19">
        <f>$J$3/Velocidad!I13</f>
        <v>3.7418910305761902E-2</v>
      </c>
      <c r="H14" s="17"/>
      <c r="I14" s="16"/>
      <c r="J14" s="16"/>
      <c r="K14" s="16"/>
      <c r="L14" s="262">
        <f t="shared" si="0"/>
        <v>2026</v>
      </c>
      <c r="M14" s="263">
        <f>Velocidad!C12</f>
        <v>65.047320907468276</v>
      </c>
      <c r="N14" s="263">
        <f>Velocidad!D12</f>
        <v>56.916405794034759</v>
      </c>
      <c r="O14" s="263">
        <f>Velocidad!E12</f>
        <v>48.785490680601214</v>
      </c>
      <c r="P14" s="264">
        <f t="shared" si="2"/>
        <v>2.7246779348855759E-2</v>
      </c>
      <c r="Q14" s="264">
        <f t="shared" si="3"/>
        <v>3.1139176398692285E-2</v>
      </c>
      <c r="R14" s="264">
        <f t="shared" si="4"/>
        <v>3.6329039131807669E-2</v>
      </c>
      <c r="S14" s="264" t="str">
        <f>Velocidad!K12</f>
        <v>A</v>
      </c>
      <c r="T14" s="263">
        <f>Velocidad!G12</f>
        <v>65.047320907468276</v>
      </c>
      <c r="U14" s="263">
        <f>Velocidad!H12</f>
        <v>56.916405794034759</v>
      </c>
      <c r="V14" s="263">
        <f>Velocidad!I12</f>
        <v>48.785490680601221</v>
      </c>
      <c r="W14" s="264">
        <f t="shared" si="5"/>
        <v>2.7246779348855759E-2</v>
      </c>
      <c r="X14" s="264">
        <f t="shared" si="6"/>
        <v>3.1139176398692285E-2</v>
      </c>
      <c r="Y14" s="264">
        <f t="shared" si="7"/>
        <v>3.6329039131807669E-2</v>
      </c>
      <c r="Z14" s="264" t="str">
        <f t="shared" si="8"/>
        <v>A</v>
      </c>
      <c r="AA14" s="200"/>
    </row>
    <row r="15" spans="1:27" x14ac:dyDescent="0.25">
      <c r="A15" s="243">
        <f>Velocidad!A14</f>
        <v>2028</v>
      </c>
      <c r="B15" s="20">
        <f>$J$3/Velocidad!C14</f>
        <v>2.890610821120107E-2</v>
      </c>
      <c r="C15" s="19">
        <f>$J$3/Velocidad!D14</f>
        <v>3.3035552241372647E-2</v>
      </c>
      <c r="D15" s="19">
        <f>$J$3/Velocidad!E14</f>
        <v>3.854147761493476E-2</v>
      </c>
      <c r="E15" s="20">
        <f>$J$3/Velocidad!G14</f>
        <v>2.8906108211201077E-2</v>
      </c>
      <c r="F15" s="19">
        <f>$J$3/Velocidad!H14</f>
        <v>3.3035552241372647E-2</v>
      </c>
      <c r="G15" s="19">
        <f>$J$3/Velocidad!I14</f>
        <v>3.854147761493476E-2</v>
      </c>
      <c r="H15" s="17"/>
      <c r="I15" s="16"/>
      <c r="J15" s="16"/>
      <c r="K15" s="16"/>
      <c r="L15" s="262">
        <f t="shared" si="0"/>
        <v>2027</v>
      </c>
      <c r="M15" s="263">
        <f>Velocidad!C13</f>
        <v>63.152738745114831</v>
      </c>
      <c r="N15" s="263">
        <f>Velocidad!D13</f>
        <v>55.25864640197549</v>
      </c>
      <c r="O15" s="263">
        <f>Velocidad!E13</f>
        <v>47.364554058836127</v>
      </c>
      <c r="P15" s="264">
        <f t="shared" si="2"/>
        <v>2.806418272932143E-2</v>
      </c>
      <c r="Q15" s="264">
        <f t="shared" si="3"/>
        <v>3.2073351690653056E-2</v>
      </c>
      <c r="R15" s="264">
        <f t="shared" si="4"/>
        <v>3.7418910305761902E-2</v>
      </c>
      <c r="S15" s="264" t="str">
        <f>Velocidad!K13</f>
        <v>A</v>
      </c>
      <c r="T15" s="263">
        <f>Velocidad!G13</f>
        <v>63.152738745114817</v>
      </c>
      <c r="U15" s="263">
        <f>Velocidad!H13</f>
        <v>55.258646401975483</v>
      </c>
      <c r="V15" s="263">
        <f>Velocidad!I13</f>
        <v>47.364554058836127</v>
      </c>
      <c r="W15" s="264">
        <f t="shared" si="5"/>
        <v>2.8064182729321437E-2</v>
      </c>
      <c r="X15" s="264">
        <f t="shared" si="6"/>
        <v>3.2073351690653062E-2</v>
      </c>
      <c r="Y15" s="264">
        <f t="shared" si="7"/>
        <v>3.7418910305761902E-2</v>
      </c>
      <c r="Z15" s="264" t="str">
        <f t="shared" si="8"/>
        <v>A</v>
      </c>
      <c r="AA15" s="200"/>
    </row>
    <row r="16" spans="1:27" x14ac:dyDescent="0.25">
      <c r="A16" s="243">
        <f>Velocidad!A15</f>
        <v>2029</v>
      </c>
      <c r="B16" s="20">
        <f>$J$3/Velocidad!C15</f>
        <v>2.9773291457537106E-2</v>
      </c>
      <c r="C16" s="19">
        <f>$J$3/Velocidad!D15</f>
        <v>3.402661880861383E-2</v>
      </c>
      <c r="D16" s="19">
        <f>$J$3/Velocidad!E15</f>
        <v>3.9697721943382808E-2</v>
      </c>
      <c r="E16" s="20">
        <f>$J$3/Velocidad!G15</f>
        <v>2.9773291457537113E-2</v>
      </c>
      <c r="F16" s="19">
        <f>$J$3/Velocidad!H15</f>
        <v>3.402661880861383E-2</v>
      </c>
      <c r="G16" s="19">
        <f>$J$3/Velocidad!I15</f>
        <v>3.9697721943382801E-2</v>
      </c>
      <c r="H16" s="17"/>
      <c r="I16" s="16"/>
      <c r="J16" s="16"/>
      <c r="K16" s="16"/>
      <c r="L16" s="262">
        <f t="shared" si="0"/>
        <v>2028</v>
      </c>
      <c r="M16" s="263">
        <f>Velocidad!C14</f>
        <v>61.313338587490129</v>
      </c>
      <c r="N16" s="263">
        <f>Velocidad!D14</f>
        <v>53.649171264053876</v>
      </c>
      <c r="O16" s="263">
        <f>Velocidad!E14</f>
        <v>45.985003940617602</v>
      </c>
      <c r="P16" s="264">
        <f t="shared" si="2"/>
        <v>2.890610821120107E-2</v>
      </c>
      <c r="Q16" s="264">
        <f t="shared" si="3"/>
        <v>3.3035552241372647E-2</v>
      </c>
      <c r="R16" s="264">
        <f t="shared" si="4"/>
        <v>3.854147761493476E-2</v>
      </c>
      <c r="S16" s="264" t="str">
        <f>Velocidad!K14</f>
        <v>A</v>
      </c>
      <c r="T16" s="263">
        <f>Velocidad!G14</f>
        <v>61.313338587490115</v>
      </c>
      <c r="U16" s="263">
        <f>Velocidad!H14</f>
        <v>53.649171264053869</v>
      </c>
      <c r="V16" s="263">
        <f>Velocidad!I14</f>
        <v>45.985003940617602</v>
      </c>
      <c r="W16" s="264">
        <f t="shared" si="5"/>
        <v>2.8906108211201077E-2</v>
      </c>
      <c r="X16" s="264">
        <f t="shared" si="6"/>
        <v>3.3035552241372647E-2</v>
      </c>
      <c r="Y16" s="264">
        <f t="shared" si="7"/>
        <v>3.854147761493476E-2</v>
      </c>
      <c r="Z16" s="264" t="str">
        <f t="shared" si="8"/>
        <v>A</v>
      </c>
      <c r="AA16" s="200"/>
    </row>
    <row r="17" spans="1:27" x14ac:dyDescent="0.25">
      <c r="A17" s="243">
        <f>Velocidad!A16</f>
        <v>2030</v>
      </c>
      <c r="B17" s="20">
        <f>$J$3/Velocidad!C16</f>
        <v>3.0666490201263219E-2</v>
      </c>
      <c r="C17" s="19">
        <f>$J$3/Velocidad!D16</f>
        <v>3.5047417372872237E-2</v>
      </c>
      <c r="D17" s="19">
        <f>$J$3/Velocidad!E16</f>
        <v>4.0888653601684283E-2</v>
      </c>
      <c r="E17" s="20">
        <f>$J$3/Velocidad!G16</f>
        <v>3.0666490201263222E-2</v>
      </c>
      <c r="F17" s="19">
        <f>$J$3/Velocidad!H16</f>
        <v>3.5047417372872244E-2</v>
      </c>
      <c r="G17" s="19">
        <f>$J$3/Velocidad!I16</f>
        <v>4.0888653601684283E-2</v>
      </c>
      <c r="H17" s="17"/>
      <c r="L17" s="262">
        <f t="shared" si="0"/>
        <v>2029</v>
      </c>
      <c r="M17" s="263">
        <f>Velocidad!C15</f>
        <v>59.527513191737988</v>
      </c>
      <c r="N17" s="263">
        <f>Velocidad!D15</f>
        <v>52.086574042770749</v>
      </c>
      <c r="O17" s="263">
        <f>Velocidad!E15</f>
        <v>44.645634893803489</v>
      </c>
      <c r="P17" s="264">
        <f t="shared" si="2"/>
        <v>2.9773291457537106E-2</v>
      </c>
      <c r="Q17" s="264">
        <f t="shared" si="3"/>
        <v>3.402661880861383E-2</v>
      </c>
      <c r="R17" s="264">
        <f t="shared" si="4"/>
        <v>3.9697721943382808E-2</v>
      </c>
      <c r="S17" s="264" t="str">
        <f>Velocidad!K15</f>
        <v>A</v>
      </c>
      <c r="T17" s="263">
        <f>Velocidad!G15</f>
        <v>59.527513191737974</v>
      </c>
      <c r="U17" s="263">
        <f>Velocidad!H15</f>
        <v>52.086574042770749</v>
      </c>
      <c r="V17" s="263">
        <f>Velocidad!I15</f>
        <v>44.645634893803496</v>
      </c>
      <c r="W17" s="264">
        <f t="shared" si="5"/>
        <v>2.9773291457537113E-2</v>
      </c>
      <c r="X17" s="264">
        <f t="shared" si="6"/>
        <v>3.402661880861383E-2</v>
      </c>
      <c r="Y17" s="264">
        <f t="shared" si="7"/>
        <v>3.9697721943382801E-2</v>
      </c>
      <c r="Z17" s="264" t="str">
        <f t="shared" si="8"/>
        <v>A</v>
      </c>
      <c r="AA17" s="200"/>
    </row>
    <row r="18" spans="1:27" x14ac:dyDescent="0.25">
      <c r="A18" s="243">
        <f>Velocidad!A17</f>
        <v>2031</v>
      </c>
      <c r="B18" s="20">
        <f>$J$3/Velocidad!C17</f>
        <v>3.1586484907301114E-2</v>
      </c>
      <c r="C18" s="19">
        <f>$J$3/Velocidad!D17</f>
        <v>3.6098839894058411E-2</v>
      </c>
      <c r="D18" s="19">
        <f>$J$3/Velocidad!E17</f>
        <v>4.2115313209734821E-2</v>
      </c>
      <c r="E18" s="20">
        <f>$J$3/Velocidad!G17</f>
        <v>3.1586484907301121E-2</v>
      </c>
      <c r="F18" s="19">
        <f>$J$3/Velocidad!H17</f>
        <v>3.6098839894058411E-2</v>
      </c>
      <c r="G18" s="19">
        <f>$J$3/Velocidad!I17</f>
        <v>4.2115313209734814E-2</v>
      </c>
      <c r="H18" s="17"/>
      <c r="L18" s="262">
        <f t="shared" si="0"/>
        <v>2030</v>
      </c>
      <c r="M18" s="263">
        <f>Velocidad!C16</f>
        <v>57.793702127900957</v>
      </c>
      <c r="N18" s="263">
        <f>Velocidad!D16</f>
        <v>50.569489361913355</v>
      </c>
      <c r="O18" s="263">
        <f>Velocidad!E16</f>
        <v>43.345276595925725</v>
      </c>
      <c r="P18" s="264">
        <f t="shared" si="2"/>
        <v>3.0666490201263219E-2</v>
      </c>
      <c r="Q18" s="264">
        <f t="shared" si="3"/>
        <v>3.5047417372872237E-2</v>
      </c>
      <c r="R18" s="264">
        <f t="shared" si="4"/>
        <v>4.0888653601684283E-2</v>
      </c>
      <c r="S18" s="264" t="str">
        <f>Velocidad!K16</f>
        <v>A</v>
      </c>
      <c r="T18" s="263">
        <f>Velocidad!G16</f>
        <v>57.79370212790095</v>
      </c>
      <c r="U18" s="263">
        <f>Velocidad!H16</f>
        <v>50.569489361913348</v>
      </c>
      <c r="V18" s="263">
        <f>Velocidad!I16</f>
        <v>43.345276595925725</v>
      </c>
      <c r="W18" s="264">
        <f t="shared" si="5"/>
        <v>3.0666490201263222E-2</v>
      </c>
      <c r="X18" s="264">
        <f t="shared" si="6"/>
        <v>3.5047417372872244E-2</v>
      </c>
      <c r="Y18" s="264">
        <f t="shared" si="7"/>
        <v>4.0888653601684283E-2</v>
      </c>
      <c r="Z18" s="264" t="str">
        <f t="shared" si="8"/>
        <v>A</v>
      </c>
      <c r="AA18" s="200"/>
    </row>
    <row r="19" spans="1:27" x14ac:dyDescent="0.25">
      <c r="A19" s="243">
        <f>Velocidad!A18</f>
        <v>2032</v>
      </c>
      <c r="B19" s="20">
        <f>$J$3/Velocidad!C18</f>
        <v>3.2534079454520151E-2</v>
      </c>
      <c r="C19" s="19">
        <f>$J$3/Velocidad!D18</f>
        <v>3.7181805090880163E-2</v>
      </c>
      <c r="D19" s="19">
        <f>$J$3/Velocidad!E18</f>
        <v>4.3378772606026864E-2</v>
      </c>
      <c r="E19" s="20">
        <f>$J$3/Velocidad!G18</f>
        <v>3.2534079454520158E-2</v>
      </c>
      <c r="F19" s="19">
        <f>$J$3/Velocidad!H18</f>
        <v>3.718180509088017E-2</v>
      </c>
      <c r="G19" s="19">
        <f>$J$3/Velocidad!I18</f>
        <v>4.3378772606026864E-2</v>
      </c>
      <c r="H19" s="17"/>
      <c r="L19" s="262">
        <f t="shared" si="0"/>
        <v>2031</v>
      </c>
      <c r="M19" s="263">
        <f>Velocidad!C17</f>
        <v>56.11039041543782</v>
      </c>
      <c r="N19" s="263">
        <f>Velocidad!D17</f>
        <v>49.096591613508103</v>
      </c>
      <c r="O19" s="263">
        <f>Velocidad!E17</f>
        <v>42.082792811578365</v>
      </c>
      <c r="P19" s="264">
        <f t="shared" si="2"/>
        <v>3.1586484907301114E-2</v>
      </c>
      <c r="Q19" s="264">
        <f t="shared" si="3"/>
        <v>3.6098839894058411E-2</v>
      </c>
      <c r="R19" s="264">
        <f t="shared" si="4"/>
        <v>4.2115313209734821E-2</v>
      </c>
      <c r="S19" s="264" t="str">
        <f>Velocidad!K17</f>
        <v>A</v>
      </c>
      <c r="T19" s="263">
        <f>Velocidad!G17</f>
        <v>56.110390415437813</v>
      </c>
      <c r="U19" s="263">
        <f>Velocidad!H17</f>
        <v>49.096591613508103</v>
      </c>
      <c r="V19" s="263">
        <f>Velocidad!I17</f>
        <v>42.082792811578372</v>
      </c>
      <c r="W19" s="264">
        <f t="shared" si="5"/>
        <v>3.1586484907301121E-2</v>
      </c>
      <c r="X19" s="264">
        <f t="shared" si="6"/>
        <v>3.6098839894058411E-2</v>
      </c>
      <c r="Y19" s="264">
        <f t="shared" si="7"/>
        <v>4.2115313209734814E-2</v>
      </c>
      <c r="Z19" s="264" t="str">
        <f t="shared" si="8"/>
        <v>A</v>
      </c>
      <c r="AA19" s="200"/>
    </row>
    <row r="20" spans="1:27" x14ac:dyDescent="0.25">
      <c r="A20" s="243">
        <f>Velocidad!A19</f>
        <v>2033</v>
      </c>
      <c r="B20" s="20">
        <f>$J$3/Velocidad!C19</f>
        <v>3.3510101838155754E-2</v>
      </c>
      <c r="C20" s="19">
        <f>$J$3/Velocidad!D19</f>
        <v>3.8297259243606566E-2</v>
      </c>
      <c r="D20" s="19">
        <f>$J$3/Velocidad!E19</f>
        <v>4.4680135784207667E-2</v>
      </c>
      <c r="E20" s="20">
        <f>$J$3/Velocidad!G19</f>
        <v>3.3510101838155761E-2</v>
      </c>
      <c r="F20" s="19">
        <f>$J$3/Velocidad!H19</f>
        <v>3.8297259243606573E-2</v>
      </c>
      <c r="G20" s="19">
        <f>$J$3/Velocidad!I19</f>
        <v>4.4680135784207667E-2</v>
      </c>
      <c r="H20" s="17"/>
      <c r="L20" s="262">
        <f t="shared" si="0"/>
        <v>2032</v>
      </c>
      <c r="M20" s="263">
        <f>Velocidad!C18</f>
        <v>54.476107199454191</v>
      </c>
      <c r="N20" s="263">
        <f>Velocidad!D18</f>
        <v>47.666593799522431</v>
      </c>
      <c r="O20" s="263">
        <f>Velocidad!E18</f>
        <v>40.85708039959065</v>
      </c>
      <c r="P20" s="264">
        <f t="shared" si="2"/>
        <v>3.2534079454520151E-2</v>
      </c>
      <c r="Q20" s="264">
        <f t="shared" si="3"/>
        <v>3.7181805090880163E-2</v>
      </c>
      <c r="R20" s="264">
        <f t="shared" si="4"/>
        <v>4.3378772606026864E-2</v>
      </c>
      <c r="S20" s="264" t="str">
        <f>Velocidad!K18</f>
        <v>A</v>
      </c>
      <c r="T20" s="263">
        <f>Velocidad!G18</f>
        <v>54.476107199454184</v>
      </c>
      <c r="U20" s="263">
        <f>Velocidad!H18</f>
        <v>47.666593799522424</v>
      </c>
      <c r="V20" s="263">
        <f>Velocidad!I18</f>
        <v>40.85708039959065</v>
      </c>
      <c r="W20" s="264">
        <f t="shared" si="5"/>
        <v>3.2534079454520158E-2</v>
      </c>
      <c r="X20" s="264">
        <f t="shared" si="6"/>
        <v>3.718180509088017E-2</v>
      </c>
      <c r="Y20" s="264">
        <f t="shared" si="7"/>
        <v>4.3378772606026864E-2</v>
      </c>
      <c r="Z20" s="264" t="str">
        <f t="shared" si="8"/>
        <v>A</v>
      </c>
      <c r="AA20" s="200"/>
    </row>
    <row r="21" spans="1:27" x14ac:dyDescent="0.25">
      <c r="A21" s="244">
        <f>Velocidad!A20</f>
        <v>2034</v>
      </c>
      <c r="B21" s="198">
        <f>$J$3/Velocidad!C20</f>
        <v>3.4515404893300433E-2</v>
      </c>
      <c r="C21" s="199">
        <f>$J$3/Velocidad!D20</f>
        <v>3.9446177020914769E-2</v>
      </c>
      <c r="D21" s="199">
        <f>$J$3/Velocidad!E20</f>
        <v>4.6020539857733911E-2</v>
      </c>
      <c r="E21" s="198">
        <f>$J$3/Velocidad!G20</f>
        <v>3.4515404893300433E-2</v>
      </c>
      <c r="F21" s="199">
        <f>$J$3/Velocidad!H20</f>
        <v>3.9446177020914776E-2</v>
      </c>
      <c r="G21" s="199">
        <f>$J$3/Velocidad!I20</f>
        <v>4.6020539857733897E-2</v>
      </c>
      <c r="H21" s="17"/>
      <c r="L21" s="262">
        <f t="shared" si="0"/>
        <v>2033</v>
      </c>
      <c r="M21" s="263">
        <f>Velocidad!C19</f>
        <v>52.889424465489512</v>
      </c>
      <c r="N21" s="263">
        <f>Velocidad!D19</f>
        <v>46.278246407303335</v>
      </c>
      <c r="O21" s="263">
        <f>Velocidad!E19</f>
        <v>39.667068349117137</v>
      </c>
      <c r="P21" s="264">
        <f t="shared" si="2"/>
        <v>3.3510101838155754E-2</v>
      </c>
      <c r="Q21" s="264">
        <f t="shared" si="3"/>
        <v>3.8297259243606566E-2</v>
      </c>
      <c r="R21" s="264">
        <f>D20</f>
        <v>4.4680135784207667E-2</v>
      </c>
      <c r="S21" s="264" t="str">
        <f>Velocidad!K19</f>
        <v>A</v>
      </c>
      <c r="T21" s="263">
        <f>Velocidad!G19</f>
        <v>52.889424465489505</v>
      </c>
      <c r="U21" s="263">
        <f>Velocidad!H19</f>
        <v>46.278246407303328</v>
      </c>
      <c r="V21" s="263">
        <f>Velocidad!I19</f>
        <v>39.667068349117137</v>
      </c>
      <c r="W21" s="264">
        <f t="shared" si="5"/>
        <v>3.3510101838155761E-2</v>
      </c>
      <c r="X21" s="264">
        <f t="shared" si="6"/>
        <v>3.8297259243606573E-2</v>
      </c>
      <c r="Y21" s="264">
        <f t="shared" si="7"/>
        <v>4.4680135784207667E-2</v>
      </c>
      <c r="Z21" s="264" t="str">
        <f t="shared" si="8"/>
        <v>A</v>
      </c>
      <c r="AA21" s="200"/>
    </row>
    <row r="22" spans="1:27" x14ac:dyDescent="0.25">
      <c r="L22" s="262">
        <f t="shared" si="0"/>
        <v>2034</v>
      </c>
      <c r="M22" s="263">
        <f>Velocidad!C20</f>
        <v>51.348955791737382</v>
      </c>
      <c r="N22" s="263">
        <f>Velocidad!D20</f>
        <v>44.93033631777022</v>
      </c>
      <c r="O22" s="263">
        <f>Velocidad!E20</f>
        <v>38.511716843803036</v>
      </c>
      <c r="P22" s="264">
        <f t="shared" si="2"/>
        <v>3.4515404893300433E-2</v>
      </c>
      <c r="Q22" s="264">
        <f t="shared" si="3"/>
        <v>3.9446177020914769E-2</v>
      </c>
      <c r="R22" s="264">
        <f t="shared" si="4"/>
        <v>4.6020539857733911E-2</v>
      </c>
      <c r="S22" s="264" t="str">
        <f>Velocidad!K20</f>
        <v>A</v>
      </c>
      <c r="T22" s="263">
        <f>Velocidad!G20</f>
        <v>51.348955791737374</v>
      </c>
      <c r="U22" s="263">
        <f>Velocidad!H20</f>
        <v>44.930336317770212</v>
      </c>
      <c r="V22" s="263">
        <f>Velocidad!I20</f>
        <v>38.511716843803043</v>
      </c>
      <c r="W22" s="264">
        <f t="shared" si="5"/>
        <v>3.4515404893300433E-2</v>
      </c>
      <c r="X22" s="264">
        <f t="shared" si="6"/>
        <v>3.9446177020914776E-2</v>
      </c>
      <c r="Y22" s="264">
        <f t="shared" si="7"/>
        <v>4.6020539857733897E-2</v>
      </c>
      <c r="Z22" s="264" t="str">
        <f t="shared" si="8"/>
        <v>A</v>
      </c>
      <c r="AA22" s="200"/>
    </row>
    <row r="23" spans="1:27" x14ac:dyDescent="0.25"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</sheetData>
  <mergeCells count="14">
    <mergeCell ref="L4:L6"/>
    <mergeCell ref="M5:O5"/>
    <mergeCell ref="P5:R5"/>
    <mergeCell ref="S5:S6"/>
    <mergeCell ref="A2:H2"/>
    <mergeCell ref="A3:G3"/>
    <mergeCell ref="B4:D4"/>
    <mergeCell ref="E4:G4"/>
    <mergeCell ref="A4:A5"/>
    <mergeCell ref="Z5:Z6"/>
    <mergeCell ref="T5:V5"/>
    <mergeCell ref="W5:Y5"/>
    <mergeCell ref="M4:S4"/>
    <mergeCell ref="T4:Z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3"/>
  <sheetViews>
    <sheetView zoomScale="80" zoomScaleNormal="80" workbookViewId="0">
      <selection activeCell="C8" sqref="C8"/>
    </sheetView>
  </sheetViews>
  <sheetFormatPr baseColWidth="10" defaultRowHeight="15" x14ac:dyDescent="0.25"/>
  <cols>
    <col min="1" max="1" width="5.140625" bestFit="1" customWidth="1"/>
    <col min="2" max="7" width="10.5703125" customWidth="1"/>
    <col min="9" max="9" width="5.140625" bestFit="1" customWidth="1"/>
    <col min="10" max="15" width="10.5703125" customWidth="1"/>
  </cols>
  <sheetData>
    <row r="1" spans="1:15" x14ac:dyDescent="0.25">
      <c r="A1" s="24"/>
      <c r="B1" s="24"/>
      <c r="C1" s="25" t="s">
        <v>16</v>
      </c>
      <c r="D1" s="23"/>
      <c r="E1" s="23"/>
      <c r="F1" s="23"/>
      <c r="G1" s="23"/>
      <c r="H1" s="23"/>
      <c r="I1" s="26"/>
      <c r="J1" s="23"/>
      <c r="K1" s="23"/>
      <c r="L1" s="23"/>
      <c r="M1" s="23"/>
      <c r="N1" s="22"/>
      <c r="O1" s="22"/>
    </row>
    <row r="2" spans="1:15" x14ac:dyDescent="0.25">
      <c r="A2" s="24"/>
      <c r="B2" s="24"/>
      <c r="C2" s="27" t="s">
        <v>17</v>
      </c>
      <c r="D2" s="28">
        <v>2</v>
      </c>
      <c r="E2" s="24"/>
      <c r="F2" s="27" t="s">
        <v>18</v>
      </c>
      <c r="G2" s="28">
        <v>23</v>
      </c>
      <c r="H2" s="24"/>
      <c r="I2" s="29"/>
      <c r="J2" s="24"/>
      <c r="K2" s="24"/>
      <c r="L2" s="27" t="s">
        <v>65</v>
      </c>
      <c r="M2" s="24">
        <v>50.25</v>
      </c>
      <c r="N2" s="22"/>
      <c r="O2" s="22"/>
    </row>
    <row r="4" spans="1:15" x14ac:dyDescent="0.25">
      <c r="A4" s="337" t="s">
        <v>19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</row>
    <row r="5" spans="1:15" x14ac:dyDescent="0.25">
      <c r="A5" s="293" t="str">
        <f>Tiempo!A3</f>
        <v>Av. Crecer en Grande</v>
      </c>
      <c r="B5" s="293"/>
      <c r="C5" s="293"/>
      <c r="D5" s="293"/>
      <c r="E5" s="293"/>
      <c r="F5" s="293"/>
      <c r="G5" s="293"/>
    </row>
    <row r="6" spans="1:15" ht="15" customHeight="1" x14ac:dyDescent="0.25">
      <c r="A6" s="331" t="s">
        <v>1</v>
      </c>
      <c r="B6" s="342" t="s">
        <v>62</v>
      </c>
      <c r="C6" s="343"/>
      <c r="D6" s="344"/>
      <c r="E6" s="316" t="s">
        <v>63</v>
      </c>
      <c r="F6" s="316"/>
      <c r="G6" s="316"/>
    </row>
    <row r="7" spans="1:15" ht="15.75" thickBot="1" x14ac:dyDescent="0.3">
      <c r="A7" s="332"/>
      <c r="B7" s="150" t="s">
        <v>5</v>
      </c>
      <c r="C7" s="153" t="s">
        <v>6</v>
      </c>
      <c r="D7" s="159" t="s">
        <v>7</v>
      </c>
      <c r="E7" s="150" t="s">
        <v>5</v>
      </c>
      <c r="F7" s="150" t="s">
        <v>6</v>
      </c>
      <c r="G7" s="152" t="s">
        <v>7</v>
      </c>
    </row>
    <row r="8" spans="1:15" ht="15.75" thickTop="1" x14ac:dyDescent="0.25">
      <c r="A8" s="259">
        <f>Tiempo!A6</f>
        <v>2019</v>
      </c>
      <c r="B8" s="124">
        <f>Tiempo!B6*($D$2*$M$2)</f>
        <v>2.2264895624999999</v>
      </c>
      <c r="C8" s="125">
        <f>Tiempo!C6*($G$2*$M$2)</f>
        <v>29.262434249999998</v>
      </c>
      <c r="D8" s="126">
        <v>0</v>
      </c>
      <c r="E8" s="124">
        <f>Tiempo!E6*($D$2*$M$2)</f>
        <v>2.2264895624999999</v>
      </c>
      <c r="F8" s="125">
        <f>Tiempo!F6*($G$2*$M$2)</f>
        <v>29.262434249999998</v>
      </c>
      <c r="G8" s="127">
        <v>0</v>
      </c>
    </row>
    <row r="9" spans="1:15" x14ac:dyDescent="0.25">
      <c r="A9" s="259">
        <f>Tiempo!A7</f>
        <v>2020</v>
      </c>
      <c r="B9" s="128">
        <f>Tiempo!B7*($D$2*$M$2)</f>
        <v>2.2932842493749996</v>
      </c>
      <c r="C9" s="129">
        <f>Tiempo!C7*($G$2*$M$2)</f>
        <v>30.1403072775</v>
      </c>
      <c r="D9" s="130">
        <v>0</v>
      </c>
      <c r="E9" s="131">
        <f>Tiempo!E7*($D$2*$M$2)</f>
        <v>2.2932842493749996</v>
      </c>
      <c r="F9" s="127">
        <f>Tiempo!F7*($G$2*$M$2)</f>
        <v>30.140307277499989</v>
      </c>
      <c r="G9" s="127">
        <v>0</v>
      </c>
    </row>
    <row r="10" spans="1:15" x14ac:dyDescent="0.25">
      <c r="A10" s="259">
        <f>Tiempo!A8</f>
        <v>2021</v>
      </c>
      <c r="B10" s="128">
        <f>Tiempo!B8*($D$2*$M$2)</f>
        <v>2.3620827768562505</v>
      </c>
      <c r="C10" s="129">
        <f>Tiempo!C8*($G$2*$M$2)</f>
        <v>31.044516495824997</v>
      </c>
      <c r="D10" s="130">
        <v>0</v>
      </c>
      <c r="E10" s="131">
        <f>Tiempo!E8*($D$2*$M$2)</f>
        <v>2.3620827768562505</v>
      </c>
      <c r="F10" s="127">
        <f>Tiempo!F8*($G$2*$M$2)</f>
        <v>31.044516495824997</v>
      </c>
      <c r="G10" s="127">
        <v>0</v>
      </c>
    </row>
    <row r="11" spans="1:15" x14ac:dyDescent="0.25">
      <c r="A11" s="259">
        <f>Tiempo!A9</f>
        <v>2022</v>
      </c>
      <c r="B11" s="42">
        <f>Tiempo!B9*($D$2*$M$2)</f>
        <v>2.4329452601619384</v>
      </c>
      <c r="C11" s="43">
        <f>Tiempo!C9*($G$2*$M$2)</f>
        <v>31.975851990699752</v>
      </c>
      <c r="D11" s="40">
        <v>0</v>
      </c>
      <c r="E11" s="36">
        <f>Tiempo!E9*($D$2*$M$2)</f>
        <v>2.4329452601619384</v>
      </c>
      <c r="F11" s="38">
        <f>Tiempo!F9*($G$2*$M$2)</f>
        <v>31.975851990699752</v>
      </c>
      <c r="G11" s="38">
        <v>0</v>
      </c>
    </row>
    <row r="12" spans="1:15" x14ac:dyDescent="0.25">
      <c r="A12" s="259">
        <f>Tiempo!A10</f>
        <v>2023</v>
      </c>
      <c r="B12" s="42">
        <f>Tiempo!B10*($D$2*$M$2)</f>
        <v>2.5059336179667961</v>
      </c>
      <c r="C12" s="43">
        <f>Tiempo!C10*($G$2*$M$2)</f>
        <v>32.935127550420738</v>
      </c>
      <c r="D12" s="40">
        <v>0</v>
      </c>
      <c r="E12" s="36">
        <f>Tiempo!E10*($D$2*$M$2)</f>
        <v>2.5059336179667961</v>
      </c>
      <c r="F12" s="38">
        <f>Tiempo!F10*($G$2*$M$2)</f>
        <v>32.935127550420745</v>
      </c>
      <c r="G12" s="38">
        <v>0</v>
      </c>
    </row>
    <row r="13" spans="1:15" x14ac:dyDescent="0.25">
      <c r="A13" s="259">
        <f>Tiempo!A11</f>
        <v>2024</v>
      </c>
      <c r="B13" s="42">
        <f>Tiempo!B11*($D$2*$M$2)</f>
        <v>2.5811116265058001</v>
      </c>
      <c r="C13" s="43">
        <f>Tiempo!C11*($G$2*$M$2)</f>
        <v>33.923181376933364</v>
      </c>
      <c r="D13" s="40">
        <v>0</v>
      </c>
      <c r="E13" s="36">
        <f>Tiempo!E11*($D$2*$M$2)</f>
        <v>2.5811116265058001</v>
      </c>
      <c r="F13" s="38">
        <f>Tiempo!F11*($G$2*$M$2)</f>
        <v>33.923181376933364</v>
      </c>
      <c r="G13" s="38">
        <v>0</v>
      </c>
    </row>
    <row r="14" spans="1:15" x14ac:dyDescent="0.25">
      <c r="A14" s="259">
        <f>Tiempo!A12</f>
        <v>2025</v>
      </c>
      <c r="B14" s="42">
        <f>Tiempo!B12*($D$2*$M$2)</f>
        <v>2.6585449753009742</v>
      </c>
      <c r="C14" s="43">
        <f>Tiempo!C12*($G$2*$M$2)</f>
        <v>34.940876818241364</v>
      </c>
      <c r="D14" s="40">
        <v>0</v>
      </c>
      <c r="E14" s="36">
        <f>Tiempo!E12*($D$2*$M$2)</f>
        <v>2.6585449753009742</v>
      </c>
      <c r="F14" s="38">
        <f>Tiempo!F12*($G$2*$M$2)</f>
        <v>34.940876818241371</v>
      </c>
      <c r="G14" s="38">
        <v>0</v>
      </c>
    </row>
    <row r="15" spans="1:15" x14ac:dyDescent="0.25">
      <c r="A15" s="259">
        <f>Tiempo!A13</f>
        <v>2026</v>
      </c>
      <c r="B15" s="42">
        <f>Tiempo!B13*($D$2*$M$2)</f>
        <v>2.7383013245600036</v>
      </c>
      <c r="C15" s="43">
        <f>Tiempo!C13*($G$2*$M$2)</f>
        <v>35.989103122788606</v>
      </c>
      <c r="D15" s="40">
        <v>0</v>
      </c>
      <c r="E15" s="36">
        <f>Tiempo!E13*($D$2*$M$2)</f>
        <v>2.7383013245600036</v>
      </c>
      <c r="F15" s="38">
        <f>Tiempo!F13*($G$2*$M$2)</f>
        <v>35.989103122788606</v>
      </c>
      <c r="G15" s="38">
        <v>0</v>
      </c>
    </row>
    <row r="16" spans="1:15" x14ac:dyDescent="0.25">
      <c r="A16" s="259">
        <f>Tiempo!A14</f>
        <v>2027</v>
      </c>
      <c r="B16" s="42">
        <f>Tiempo!B14*($D$2*$M$2)</f>
        <v>2.8204503642968035</v>
      </c>
      <c r="C16" s="43">
        <f>Tiempo!C14*($G$2*$M$2)</f>
        <v>37.068776216472266</v>
      </c>
      <c r="D16" s="40">
        <v>0</v>
      </c>
      <c r="E16" s="36">
        <f>Tiempo!E14*($D$2*$M$2)</f>
        <v>2.8204503642968044</v>
      </c>
      <c r="F16" s="38">
        <f>Tiempo!F14*($G$2*$M$2)</f>
        <v>37.06877621647228</v>
      </c>
      <c r="G16" s="38">
        <v>0</v>
      </c>
    </row>
    <row r="17" spans="1:7" x14ac:dyDescent="0.25">
      <c r="A17" s="259">
        <f>Tiempo!A15</f>
        <v>2028</v>
      </c>
      <c r="B17" s="42">
        <f>Tiempo!B15*($D$2*$M$2)</f>
        <v>2.9050638752257076</v>
      </c>
      <c r="C17" s="43">
        <f>Tiempo!C15*($G$2*$M$2)</f>
        <v>38.180839502966435</v>
      </c>
      <c r="D17" s="40">
        <v>0</v>
      </c>
      <c r="E17" s="36">
        <f>Tiempo!E15*($D$2*$M$2)</f>
        <v>2.9050638752257081</v>
      </c>
      <c r="F17" s="38">
        <f>Tiempo!F15*($G$2*$M$2)</f>
        <v>38.180839502966435</v>
      </c>
      <c r="G17" s="38">
        <v>0</v>
      </c>
    </row>
    <row r="18" spans="1:7" x14ac:dyDescent="0.25">
      <c r="A18" s="259">
        <f>Tiempo!A16</f>
        <v>2029</v>
      </c>
      <c r="B18" s="42">
        <f>Tiempo!B16*($D$2*$M$2)</f>
        <v>2.992215791482479</v>
      </c>
      <c r="C18" s="43">
        <f>Tiempo!C16*($G$2*$M$2)</f>
        <v>39.326264688055431</v>
      </c>
      <c r="D18" s="40">
        <v>0</v>
      </c>
      <c r="E18" s="36">
        <f>Tiempo!E16*($D$2*$M$2)</f>
        <v>2.9922157914824798</v>
      </c>
      <c r="F18" s="38">
        <f>Tiempo!F16*($G$2*$M$2)</f>
        <v>39.326264688055431</v>
      </c>
      <c r="G18" s="38">
        <v>0</v>
      </c>
    </row>
    <row r="19" spans="1:7" x14ac:dyDescent="0.25">
      <c r="A19" s="259">
        <f>Tiempo!A17</f>
        <v>2030</v>
      </c>
      <c r="B19" s="42">
        <f>Tiempo!B17*($D$2*$M$2)</f>
        <v>3.0819822652269533</v>
      </c>
      <c r="C19" s="43">
        <f>Tiempo!C17*($G$2*$M$2)</f>
        <v>40.506052628697091</v>
      </c>
      <c r="D19" s="40">
        <v>0</v>
      </c>
      <c r="E19" s="36">
        <f>Tiempo!E17*($D$2*$M$2)</f>
        <v>3.0819822652269537</v>
      </c>
      <c r="F19" s="38">
        <f>Tiempo!F17*($G$2*$M$2)</f>
        <v>40.506052628697098</v>
      </c>
      <c r="G19" s="38">
        <v>0</v>
      </c>
    </row>
    <row r="20" spans="1:7" x14ac:dyDescent="0.25">
      <c r="A20" s="259">
        <f>Tiempo!A18</f>
        <v>2031</v>
      </c>
      <c r="B20" s="42">
        <f>Tiempo!B18*($D$2*$M$2)</f>
        <v>3.174441733183762</v>
      </c>
      <c r="C20" s="43">
        <f>Tiempo!C18*($G$2*$M$2)</f>
        <v>41.721234207558005</v>
      </c>
      <c r="D20" s="40">
        <v>0</v>
      </c>
      <c r="E20" s="36">
        <f>Tiempo!E18*($D$2*$M$2)</f>
        <v>3.1744417331837629</v>
      </c>
      <c r="F20" s="38">
        <f>Tiempo!F18*($G$2*$M$2)</f>
        <v>41.721234207558005</v>
      </c>
      <c r="G20" s="38">
        <v>0</v>
      </c>
    </row>
    <row r="21" spans="1:7" x14ac:dyDescent="0.25">
      <c r="A21" s="259">
        <f>Tiempo!A19</f>
        <v>2032</v>
      </c>
      <c r="B21" s="42">
        <f>Tiempo!B19*($D$2*$M$2)</f>
        <v>3.2696749851792752</v>
      </c>
      <c r="C21" s="43">
        <f>Tiempo!C19*($G$2*$M$2)</f>
        <v>42.972871233784751</v>
      </c>
      <c r="D21" s="40">
        <v>0</v>
      </c>
      <c r="E21" s="36">
        <f>Tiempo!E19*($D$2*$M$2)</f>
        <v>3.2696749851792757</v>
      </c>
      <c r="F21" s="38">
        <f>Tiempo!F19*($G$2*$M$2)</f>
        <v>42.972871233784758</v>
      </c>
      <c r="G21" s="38">
        <v>0</v>
      </c>
    </row>
    <row r="22" spans="1:7" x14ac:dyDescent="0.25">
      <c r="A22" s="259">
        <f>Tiempo!A20</f>
        <v>2033</v>
      </c>
      <c r="B22" s="42">
        <f>Tiempo!B20*($D$2*$M$2)</f>
        <v>3.3677652347346534</v>
      </c>
      <c r="C22" s="43">
        <f>Tiempo!C20*($G$2*$M$2)</f>
        <v>44.262057370798289</v>
      </c>
      <c r="D22" s="40">
        <v>0</v>
      </c>
      <c r="E22" s="36">
        <f>Tiempo!E20*($D$2*$M$2)</f>
        <v>3.3677652347346538</v>
      </c>
      <c r="F22" s="38">
        <f>Tiempo!F20*($G$2*$M$2)</f>
        <v>44.262057370798296</v>
      </c>
      <c r="G22" s="38">
        <v>0</v>
      </c>
    </row>
    <row r="23" spans="1:7" x14ac:dyDescent="0.25">
      <c r="A23" s="260">
        <f>Tiempo!A21</f>
        <v>2034</v>
      </c>
      <c r="B23" s="193">
        <f>Tiempo!B21*($D$2*$M$2)</f>
        <v>3.4687981917766937</v>
      </c>
      <c r="C23" s="194">
        <f>Tiempo!C21*($G$2*$M$2)</f>
        <v>45.589919091922241</v>
      </c>
      <c r="D23" s="195">
        <v>0</v>
      </c>
      <c r="E23" s="196">
        <f>Tiempo!E21*($D$2*$M$2)</f>
        <v>3.4687981917766937</v>
      </c>
      <c r="F23" s="197">
        <f>Tiempo!F21*($G$2*$M$2)</f>
        <v>45.589919091922255</v>
      </c>
      <c r="G23" s="197">
        <v>0</v>
      </c>
    </row>
  </sheetData>
  <mergeCells count="5">
    <mergeCell ref="A4:O4"/>
    <mergeCell ref="A5:G5"/>
    <mergeCell ref="A6:A7"/>
    <mergeCell ref="B6:D6"/>
    <mergeCell ref="E6:G6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22"/>
  <sheetViews>
    <sheetView zoomScale="70" zoomScaleNormal="70" workbookViewId="0">
      <selection activeCell="K34" sqref="K34"/>
    </sheetView>
  </sheetViews>
  <sheetFormatPr baseColWidth="10" defaultRowHeight="15" x14ac:dyDescent="0.25"/>
  <cols>
    <col min="1" max="1" width="5.140625" bestFit="1" customWidth="1"/>
    <col min="2" max="7" width="8.5703125" customWidth="1"/>
    <col min="8" max="8" width="19" customWidth="1"/>
    <col min="9" max="9" width="7.7109375" customWidth="1"/>
    <col min="10" max="10" width="8.5703125" customWidth="1"/>
    <col min="11" max="12" width="9.28515625" bestFit="1" customWidth="1"/>
    <col min="13" max="13" width="8.5703125" customWidth="1"/>
    <col min="14" max="14" width="9.28515625" bestFit="1" customWidth="1"/>
    <col min="15" max="15" width="9.5703125" bestFit="1" customWidth="1"/>
    <col min="16" max="16" width="3.5703125" customWidth="1"/>
    <col min="17" max="17" width="10.28515625" customWidth="1"/>
  </cols>
  <sheetData>
    <row r="1" spans="1:21" ht="32.25" customHeight="1" x14ac:dyDescent="0.25">
      <c r="A1" s="345" t="s">
        <v>20</v>
      </c>
      <c r="B1" s="345"/>
      <c r="C1" s="345"/>
      <c r="D1" s="345"/>
      <c r="E1" s="345"/>
      <c r="F1" s="345"/>
      <c r="G1" s="345"/>
      <c r="H1" s="141"/>
      <c r="I1" s="345" t="s">
        <v>21</v>
      </c>
      <c r="J1" s="345"/>
      <c r="K1" s="345"/>
      <c r="L1" s="345"/>
      <c r="M1" s="345"/>
      <c r="N1" s="345"/>
      <c r="O1" s="345"/>
      <c r="P1" s="142"/>
      <c r="Q1" s="32" t="s">
        <v>13</v>
      </c>
      <c r="R1" s="32" t="s">
        <v>14</v>
      </c>
    </row>
    <row r="2" spans="1:21" x14ac:dyDescent="0.25">
      <c r="A2" s="293" t="str">
        <f>CTP!A5</f>
        <v>Av. Crecer en Grande</v>
      </c>
      <c r="B2" s="293"/>
      <c r="C2" s="293"/>
      <c r="D2" s="293"/>
      <c r="E2" s="293"/>
      <c r="F2" s="293"/>
      <c r="G2" s="293"/>
      <c r="H2" s="31"/>
      <c r="I2" s="293" t="str">
        <f>A2</f>
        <v>Av. Crecer en Grande</v>
      </c>
      <c r="J2" s="293"/>
      <c r="K2" s="293"/>
      <c r="L2" s="293"/>
      <c r="M2" s="293"/>
      <c r="N2" s="293"/>
      <c r="O2" s="293"/>
      <c r="P2" s="31"/>
      <c r="Q2" s="32" t="s">
        <v>15</v>
      </c>
      <c r="R2" s="30">
        <f>Tiempo!J3</f>
        <v>1.77233</v>
      </c>
    </row>
    <row r="3" spans="1:21" ht="15" customHeight="1" x14ac:dyDescent="0.25">
      <c r="A3" s="158" t="s">
        <v>1</v>
      </c>
      <c r="B3" s="342" t="s">
        <v>62</v>
      </c>
      <c r="C3" s="343"/>
      <c r="D3" s="344"/>
      <c r="E3" s="316" t="s">
        <v>63</v>
      </c>
      <c r="F3" s="316"/>
      <c r="G3" s="316"/>
      <c r="H3" s="31"/>
      <c r="I3" s="346" t="s">
        <v>1</v>
      </c>
      <c r="J3" s="342" t="s">
        <v>62</v>
      </c>
      <c r="K3" s="343"/>
      <c r="L3" s="344"/>
      <c r="M3" s="316" t="s">
        <v>63</v>
      </c>
      <c r="N3" s="316"/>
      <c r="O3" s="316"/>
      <c r="P3" s="31"/>
      <c r="Q3" s="32"/>
      <c r="R3" s="30"/>
    </row>
    <row r="4" spans="1:21" ht="15.75" customHeight="1" thickBot="1" x14ac:dyDescent="0.3">
      <c r="A4" s="158"/>
      <c r="B4" s="154" t="s">
        <v>5</v>
      </c>
      <c r="C4" s="153" t="s">
        <v>6</v>
      </c>
      <c r="D4" s="159" t="s">
        <v>7</v>
      </c>
      <c r="E4" s="150" t="s">
        <v>5</v>
      </c>
      <c r="F4" s="150" t="s">
        <v>6</v>
      </c>
      <c r="G4" s="152" t="s">
        <v>7</v>
      </c>
      <c r="H4" s="31"/>
      <c r="I4" s="347"/>
      <c r="J4" s="154" t="s">
        <v>5</v>
      </c>
      <c r="K4" s="153" t="s">
        <v>6</v>
      </c>
      <c r="L4" s="250" t="s">
        <v>7</v>
      </c>
      <c r="M4" s="150" t="s">
        <v>5</v>
      </c>
      <c r="N4" s="150" t="s">
        <v>6</v>
      </c>
      <c r="O4" s="251" t="s">
        <v>7</v>
      </c>
      <c r="P4" s="31"/>
      <c r="Q4" s="30"/>
      <c r="R4" s="30"/>
      <c r="U4" s="200"/>
    </row>
    <row r="5" spans="1:21" ht="15.75" thickTop="1" x14ac:dyDescent="0.25">
      <c r="A5" s="47">
        <f>CTP!A8</f>
        <v>2019</v>
      </c>
      <c r="B5" s="266">
        <v>11.82</v>
      </c>
      <c r="C5" s="267">
        <v>26.98</v>
      </c>
      <c r="D5" s="268">
        <v>22.28</v>
      </c>
      <c r="E5" s="266">
        <v>11.82</v>
      </c>
      <c r="F5" s="267">
        <v>26.98</v>
      </c>
      <c r="G5" s="268">
        <v>22.28</v>
      </c>
      <c r="H5" s="31"/>
      <c r="I5" s="269">
        <f>A5</f>
        <v>2019</v>
      </c>
      <c r="J5" s="270">
        <f>B5*$R$2</f>
        <v>20.9489406</v>
      </c>
      <c r="K5" s="271">
        <f t="shared" ref="K5:K20" si="0">C5*$R$2</f>
        <v>47.817463400000001</v>
      </c>
      <c r="L5" s="272">
        <f t="shared" ref="L5:L20" si="1">D5*$R$2</f>
        <v>39.4875124</v>
      </c>
      <c r="M5" s="273">
        <f t="shared" ref="M5:M20" si="2">E5*$R$2</f>
        <v>20.9489406</v>
      </c>
      <c r="N5" s="274">
        <f t="shared" ref="N5:N20" si="3">F5*$R$2</f>
        <v>47.817463400000001</v>
      </c>
      <c r="O5" s="275">
        <f t="shared" ref="O5:O20" si="4">G5*$R$2</f>
        <v>39.4875124</v>
      </c>
      <c r="P5" s="31"/>
      <c r="Q5" s="30"/>
      <c r="R5" s="30"/>
    </row>
    <row r="6" spans="1:21" x14ac:dyDescent="0.25">
      <c r="A6" s="48">
        <f>CTP!A9</f>
        <v>2020</v>
      </c>
      <c r="B6" s="201">
        <v>11.9</v>
      </c>
      <c r="C6" s="202">
        <v>27.07</v>
      </c>
      <c r="D6" s="203">
        <v>22.33</v>
      </c>
      <c r="E6" s="201">
        <v>11.9</v>
      </c>
      <c r="F6" s="202">
        <v>27.07</v>
      </c>
      <c r="G6" s="203">
        <v>22.33</v>
      </c>
      <c r="H6" s="31"/>
      <c r="I6" s="276">
        <f t="shared" ref="I6:I20" si="5">A6</f>
        <v>2020</v>
      </c>
      <c r="J6" s="277">
        <f t="shared" ref="J6:J20" si="6">B6*$R$2</f>
        <v>21.090727000000001</v>
      </c>
      <c r="K6" s="278">
        <f t="shared" si="0"/>
        <v>47.976973100000002</v>
      </c>
      <c r="L6" s="279">
        <f t="shared" si="1"/>
        <v>39.576128899999993</v>
      </c>
      <c r="M6" s="280">
        <f t="shared" si="2"/>
        <v>21.090727000000001</v>
      </c>
      <c r="N6" s="281">
        <f t="shared" si="3"/>
        <v>47.976973100000002</v>
      </c>
      <c r="O6" s="281">
        <f t="shared" si="4"/>
        <v>39.576128899999993</v>
      </c>
      <c r="P6" s="31"/>
      <c r="Q6" s="30"/>
      <c r="R6" s="30"/>
      <c r="U6" s="207"/>
    </row>
    <row r="7" spans="1:21" x14ac:dyDescent="0.25">
      <c r="A7" s="48">
        <f>CTP!A10</f>
        <v>2021</v>
      </c>
      <c r="B7" s="201">
        <v>12.03</v>
      </c>
      <c r="C7" s="202">
        <v>27.16</v>
      </c>
      <c r="D7" s="203">
        <v>22.41</v>
      </c>
      <c r="E7" s="201">
        <v>12.03</v>
      </c>
      <c r="F7" s="202">
        <v>27.16</v>
      </c>
      <c r="G7" s="203">
        <v>22.41</v>
      </c>
      <c r="H7" s="31"/>
      <c r="I7" s="276">
        <f t="shared" si="5"/>
        <v>2021</v>
      </c>
      <c r="J7" s="277">
        <f t="shared" si="6"/>
        <v>21.321129899999999</v>
      </c>
      <c r="K7" s="278">
        <f t="shared" si="0"/>
        <v>48.136482799999996</v>
      </c>
      <c r="L7" s="279">
        <f t="shared" si="1"/>
        <v>39.717915300000001</v>
      </c>
      <c r="M7" s="280">
        <f t="shared" si="2"/>
        <v>21.321129899999999</v>
      </c>
      <c r="N7" s="281">
        <f t="shared" si="3"/>
        <v>48.136482799999996</v>
      </c>
      <c r="O7" s="281">
        <f t="shared" si="4"/>
        <v>39.717915300000001</v>
      </c>
      <c r="P7" s="31"/>
      <c r="Q7" s="30"/>
      <c r="R7" s="30"/>
      <c r="U7" s="207"/>
    </row>
    <row r="8" spans="1:21" x14ac:dyDescent="0.25">
      <c r="A8" s="48">
        <f>CTP!A11</f>
        <v>2022</v>
      </c>
      <c r="B8" s="201">
        <v>12.13</v>
      </c>
      <c r="C8" s="202">
        <v>27.27</v>
      </c>
      <c r="D8" s="203">
        <v>22.5</v>
      </c>
      <c r="E8" s="201">
        <v>12.13</v>
      </c>
      <c r="F8" s="202">
        <v>27.27</v>
      </c>
      <c r="G8" s="203">
        <v>22.5</v>
      </c>
      <c r="H8" s="31"/>
      <c r="I8" s="276">
        <f t="shared" si="5"/>
        <v>2022</v>
      </c>
      <c r="J8" s="277">
        <f t="shared" si="6"/>
        <v>21.4983629</v>
      </c>
      <c r="K8" s="278">
        <f t="shared" si="0"/>
        <v>48.331439099999997</v>
      </c>
      <c r="L8" s="279">
        <f t="shared" si="1"/>
        <v>39.877425000000002</v>
      </c>
      <c r="M8" s="280">
        <f t="shared" si="2"/>
        <v>21.4983629</v>
      </c>
      <c r="N8" s="281">
        <f t="shared" si="3"/>
        <v>48.331439099999997</v>
      </c>
      <c r="O8" s="281">
        <f t="shared" si="4"/>
        <v>39.877425000000002</v>
      </c>
      <c r="P8" s="31"/>
      <c r="Q8" s="30"/>
      <c r="R8" s="30"/>
      <c r="U8" s="207"/>
    </row>
    <row r="9" spans="1:21" x14ac:dyDescent="0.25">
      <c r="A9" s="48">
        <f>CTP!A12</f>
        <v>2023</v>
      </c>
      <c r="B9" s="201">
        <v>12.24</v>
      </c>
      <c r="C9" s="202">
        <v>27.39</v>
      </c>
      <c r="D9" s="203">
        <v>22.64</v>
      </c>
      <c r="E9" s="201">
        <v>12.24</v>
      </c>
      <c r="F9" s="202">
        <v>27.39</v>
      </c>
      <c r="G9" s="203">
        <v>22.64</v>
      </c>
      <c r="H9" s="31"/>
      <c r="I9" s="276">
        <f t="shared" si="5"/>
        <v>2023</v>
      </c>
      <c r="J9" s="277">
        <f t="shared" si="6"/>
        <v>21.693319200000001</v>
      </c>
      <c r="K9" s="278">
        <f t="shared" si="0"/>
        <v>48.544118699999999</v>
      </c>
      <c r="L9" s="279">
        <f t="shared" si="1"/>
        <v>40.125551199999997</v>
      </c>
      <c r="M9" s="280">
        <f t="shared" si="2"/>
        <v>21.693319200000001</v>
      </c>
      <c r="N9" s="281">
        <f t="shared" si="3"/>
        <v>48.544118699999999</v>
      </c>
      <c r="O9" s="281">
        <f t="shared" si="4"/>
        <v>40.125551199999997</v>
      </c>
      <c r="P9" s="31"/>
      <c r="Q9" s="30"/>
      <c r="R9" s="30"/>
      <c r="U9" s="207"/>
    </row>
    <row r="10" spans="1:21" x14ac:dyDescent="0.25">
      <c r="A10" s="48">
        <f>CTP!A13</f>
        <v>2024</v>
      </c>
      <c r="B10" s="201">
        <v>12.35</v>
      </c>
      <c r="C10" s="202">
        <v>27.51</v>
      </c>
      <c r="D10" s="203">
        <v>22.69</v>
      </c>
      <c r="E10" s="201">
        <v>12.35</v>
      </c>
      <c r="F10" s="202">
        <v>27.51</v>
      </c>
      <c r="G10" s="203">
        <v>22.69</v>
      </c>
      <c r="H10" s="31"/>
      <c r="I10" s="276">
        <f t="shared" si="5"/>
        <v>2024</v>
      </c>
      <c r="J10" s="277">
        <f t="shared" si="6"/>
        <v>21.888275499999999</v>
      </c>
      <c r="K10" s="278">
        <f t="shared" si="0"/>
        <v>48.7567983</v>
      </c>
      <c r="L10" s="279">
        <f t="shared" si="1"/>
        <v>40.214167700000004</v>
      </c>
      <c r="M10" s="280">
        <f t="shared" si="2"/>
        <v>21.888275499999999</v>
      </c>
      <c r="N10" s="281">
        <f t="shared" si="3"/>
        <v>48.7567983</v>
      </c>
      <c r="O10" s="281">
        <f t="shared" si="4"/>
        <v>40.214167700000004</v>
      </c>
      <c r="P10" s="31"/>
      <c r="Q10" s="30"/>
      <c r="R10" s="30"/>
      <c r="U10" s="207"/>
    </row>
    <row r="11" spans="1:21" x14ac:dyDescent="0.25">
      <c r="A11" s="48">
        <f>CTP!A14</f>
        <v>2025</v>
      </c>
      <c r="B11" s="201">
        <v>12.47</v>
      </c>
      <c r="C11" s="202">
        <v>27.58</v>
      </c>
      <c r="D11" s="203">
        <v>22.8</v>
      </c>
      <c r="E11" s="201">
        <v>12.47</v>
      </c>
      <c r="F11" s="202">
        <v>27.58</v>
      </c>
      <c r="G11" s="203">
        <v>22.8</v>
      </c>
      <c r="H11" s="31"/>
      <c r="I11" s="276">
        <f t="shared" si="5"/>
        <v>2025</v>
      </c>
      <c r="J11" s="277">
        <f t="shared" si="6"/>
        <v>22.1009551</v>
      </c>
      <c r="K11" s="278">
        <f t="shared" si="0"/>
        <v>48.880861399999993</v>
      </c>
      <c r="L11" s="279">
        <f t="shared" si="1"/>
        <v>40.409123999999998</v>
      </c>
      <c r="M11" s="280">
        <f t="shared" si="2"/>
        <v>22.1009551</v>
      </c>
      <c r="N11" s="281">
        <f t="shared" si="3"/>
        <v>48.880861399999993</v>
      </c>
      <c r="O11" s="281">
        <f t="shared" si="4"/>
        <v>40.409123999999998</v>
      </c>
      <c r="P11" s="31"/>
      <c r="Q11" s="30"/>
      <c r="R11" s="30"/>
      <c r="U11" s="207"/>
    </row>
    <row r="12" spans="1:21" x14ac:dyDescent="0.25">
      <c r="A12" s="48">
        <f>CTP!A15</f>
        <v>2026</v>
      </c>
      <c r="B12" s="201">
        <v>12.67</v>
      </c>
      <c r="C12" s="202">
        <v>27.73</v>
      </c>
      <c r="D12" s="203">
        <v>22.86</v>
      </c>
      <c r="E12" s="201">
        <v>12.67</v>
      </c>
      <c r="F12" s="202">
        <v>27.73</v>
      </c>
      <c r="G12" s="203">
        <v>22.86</v>
      </c>
      <c r="H12" s="31"/>
      <c r="I12" s="276">
        <f t="shared" si="5"/>
        <v>2026</v>
      </c>
      <c r="J12" s="277">
        <f t="shared" si="6"/>
        <v>22.455421099999999</v>
      </c>
      <c r="K12" s="278">
        <f t="shared" si="0"/>
        <v>49.146710900000002</v>
      </c>
      <c r="L12" s="279">
        <f t="shared" si="1"/>
        <v>40.515463799999999</v>
      </c>
      <c r="M12" s="280">
        <f t="shared" si="2"/>
        <v>22.455421099999999</v>
      </c>
      <c r="N12" s="281">
        <f t="shared" si="3"/>
        <v>49.146710900000002</v>
      </c>
      <c r="O12" s="281">
        <f t="shared" si="4"/>
        <v>40.515463799999999</v>
      </c>
      <c r="P12" s="31"/>
      <c r="Q12" s="30"/>
      <c r="R12" s="30"/>
      <c r="U12" s="207"/>
    </row>
    <row r="13" spans="1:21" x14ac:dyDescent="0.25">
      <c r="A13" s="48">
        <f>CTP!A16</f>
        <v>2027</v>
      </c>
      <c r="B13" s="201">
        <v>12.81</v>
      </c>
      <c r="C13" s="202">
        <v>27.89</v>
      </c>
      <c r="D13" s="203">
        <v>23.04</v>
      </c>
      <c r="E13" s="201">
        <v>12.81</v>
      </c>
      <c r="F13" s="202">
        <v>27.89</v>
      </c>
      <c r="G13" s="203">
        <v>23.04</v>
      </c>
      <c r="H13" s="31"/>
      <c r="I13" s="276">
        <f t="shared" si="5"/>
        <v>2027</v>
      </c>
      <c r="J13" s="277">
        <f t="shared" si="6"/>
        <v>22.7035473</v>
      </c>
      <c r="K13" s="278">
        <f t="shared" si="0"/>
        <v>49.430283699999997</v>
      </c>
      <c r="L13" s="279">
        <f t="shared" si="1"/>
        <v>40.834483200000001</v>
      </c>
      <c r="M13" s="280">
        <f t="shared" si="2"/>
        <v>22.7035473</v>
      </c>
      <c r="N13" s="281">
        <f t="shared" si="3"/>
        <v>49.430283699999997</v>
      </c>
      <c r="O13" s="281">
        <f t="shared" si="4"/>
        <v>40.834483200000001</v>
      </c>
      <c r="P13" s="31"/>
      <c r="Q13" s="30"/>
      <c r="R13" s="30"/>
      <c r="U13" s="207"/>
    </row>
    <row r="14" spans="1:21" x14ac:dyDescent="0.25">
      <c r="A14" s="48">
        <f>CTP!A17</f>
        <v>2028</v>
      </c>
      <c r="B14" s="201">
        <v>12.97</v>
      </c>
      <c r="C14" s="202">
        <v>27.97</v>
      </c>
      <c r="D14" s="203">
        <v>23.11</v>
      </c>
      <c r="E14" s="201">
        <v>12.97</v>
      </c>
      <c r="F14" s="202">
        <v>27.97</v>
      </c>
      <c r="G14" s="203">
        <v>23.11</v>
      </c>
      <c r="H14" s="31"/>
      <c r="I14" s="276">
        <f t="shared" si="5"/>
        <v>2028</v>
      </c>
      <c r="J14" s="277">
        <f t="shared" si="6"/>
        <v>22.987120100000002</v>
      </c>
      <c r="K14" s="278">
        <f t="shared" si="0"/>
        <v>49.572070099999998</v>
      </c>
      <c r="L14" s="279">
        <f t="shared" si="1"/>
        <v>40.958546299999995</v>
      </c>
      <c r="M14" s="280">
        <f t="shared" si="2"/>
        <v>22.987120100000002</v>
      </c>
      <c r="N14" s="281">
        <f t="shared" si="3"/>
        <v>49.572070099999998</v>
      </c>
      <c r="O14" s="281">
        <f t="shared" si="4"/>
        <v>40.958546299999995</v>
      </c>
      <c r="P14" s="31"/>
      <c r="Q14" s="30"/>
      <c r="R14" s="30"/>
      <c r="U14" s="207"/>
    </row>
    <row r="15" spans="1:21" x14ac:dyDescent="0.25">
      <c r="A15" s="48">
        <f>CTP!A18</f>
        <v>2029</v>
      </c>
      <c r="B15" s="201">
        <v>13.05</v>
      </c>
      <c r="C15" s="202">
        <v>28.15</v>
      </c>
      <c r="D15" s="203">
        <v>23.26</v>
      </c>
      <c r="E15" s="201">
        <v>13.05</v>
      </c>
      <c r="F15" s="202">
        <v>28.15</v>
      </c>
      <c r="G15" s="203">
        <v>23.26</v>
      </c>
      <c r="H15" s="31"/>
      <c r="I15" s="276">
        <f t="shared" si="5"/>
        <v>2029</v>
      </c>
      <c r="J15" s="277">
        <f t="shared" si="6"/>
        <v>23.128906499999999</v>
      </c>
      <c r="K15" s="278">
        <f t="shared" si="0"/>
        <v>49.8910895</v>
      </c>
      <c r="L15" s="279">
        <f t="shared" si="1"/>
        <v>41.224395800000003</v>
      </c>
      <c r="M15" s="280">
        <f t="shared" si="2"/>
        <v>23.128906499999999</v>
      </c>
      <c r="N15" s="281">
        <f t="shared" si="3"/>
        <v>49.8910895</v>
      </c>
      <c r="O15" s="281">
        <f t="shared" si="4"/>
        <v>41.224395800000003</v>
      </c>
      <c r="P15" s="31"/>
      <c r="Q15" s="30"/>
      <c r="R15" s="30"/>
      <c r="U15" s="207"/>
    </row>
    <row r="16" spans="1:21" x14ac:dyDescent="0.25">
      <c r="A16" s="48">
        <f>CTP!A19</f>
        <v>2030</v>
      </c>
      <c r="B16" s="201">
        <v>13.22</v>
      </c>
      <c r="C16" s="202">
        <v>28.25</v>
      </c>
      <c r="D16" s="203">
        <v>23.41</v>
      </c>
      <c r="E16" s="201">
        <v>13.22</v>
      </c>
      <c r="F16" s="202">
        <v>28.25</v>
      </c>
      <c r="G16" s="203">
        <v>23.41</v>
      </c>
      <c r="H16" s="31"/>
      <c r="I16" s="276">
        <f t="shared" si="5"/>
        <v>2030</v>
      </c>
      <c r="J16" s="277">
        <f t="shared" si="6"/>
        <v>23.430202600000001</v>
      </c>
      <c r="K16" s="278">
        <f t="shared" si="0"/>
        <v>50.068322500000001</v>
      </c>
      <c r="L16" s="279">
        <f t="shared" si="1"/>
        <v>41.490245299999998</v>
      </c>
      <c r="M16" s="280">
        <f t="shared" si="2"/>
        <v>23.430202600000001</v>
      </c>
      <c r="N16" s="281">
        <f t="shared" si="3"/>
        <v>50.068322500000001</v>
      </c>
      <c r="O16" s="281">
        <f t="shared" si="4"/>
        <v>41.490245299999998</v>
      </c>
      <c r="P16" s="31"/>
      <c r="Q16" s="30"/>
      <c r="R16" s="30"/>
      <c r="U16" s="207"/>
    </row>
    <row r="17" spans="1:21" x14ac:dyDescent="0.25">
      <c r="A17" s="48">
        <f>CTP!A20</f>
        <v>2031</v>
      </c>
      <c r="B17" s="201">
        <v>13.4</v>
      </c>
      <c r="C17" s="202">
        <v>28.46</v>
      </c>
      <c r="D17" s="203">
        <v>23.49</v>
      </c>
      <c r="E17" s="201">
        <v>13.4</v>
      </c>
      <c r="F17" s="202">
        <v>28.46</v>
      </c>
      <c r="G17" s="203">
        <v>23.49</v>
      </c>
      <c r="H17" s="31"/>
      <c r="I17" s="276">
        <f t="shared" si="5"/>
        <v>2031</v>
      </c>
      <c r="J17" s="277">
        <f t="shared" si="6"/>
        <v>23.749222</v>
      </c>
      <c r="K17" s="278">
        <f t="shared" si="0"/>
        <v>50.440511800000003</v>
      </c>
      <c r="L17" s="279">
        <f t="shared" si="1"/>
        <v>41.632031699999999</v>
      </c>
      <c r="M17" s="280">
        <f t="shared" si="2"/>
        <v>23.749222</v>
      </c>
      <c r="N17" s="281">
        <f t="shared" si="3"/>
        <v>50.440511800000003</v>
      </c>
      <c r="O17" s="281">
        <f t="shared" si="4"/>
        <v>41.632031699999999</v>
      </c>
      <c r="P17" s="31"/>
      <c r="U17" s="207"/>
    </row>
    <row r="18" spans="1:21" x14ac:dyDescent="0.25">
      <c r="A18" s="48">
        <f>CTP!A21</f>
        <v>2032</v>
      </c>
      <c r="B18" s="201">
        <v>13.6</v>
      </c>
      <c r="C18" s="202">
        <v>28.57</v>
      </c>
      <c r="D18" s="203">
        <v>23.67</v>
      </c>
      <c r="E18" s="201">
        <v>13.6</v>
      </c>
      <c r="F18" s="202">
        <v>28.57</v>
      </c>
      <c r="G18" s="203">
        <v>23.67</v>
      </c>
      <c r="H18" s="31"/>
      <c r="I18" s="276">
        <f t="shared" si="5"/>
        <v>2032</v>
      </c>
      <c r="J18" s="277">
        <f t="shared" si="6"/>
        <v>24.103687999999998</v>
      </c>
      <c r="K18" s="278">
        <f t="shared" si="0"/>
        <v>50.635468099999997</v>
      </c>
      <c r="L18" s="279">
        <f t="shared" si="1"/>
        <v>41.951051100000001</v>
      </c>
      <c r="M18" s="280">
        <f t="shared" si="2"/>
        <v>24.103687999999998</v>
      </c>
      <c r="N18" s="281">
        <f t="shared" si="3"/>
        <v>50.635468099999997</v>
      </c>
      <c r="O18" s="281">
        <f t="shared" si="4"/>
        <v>41.951051100000001</v>
      </c>
      <c r="P18" s="31"/>
      <c r="U18" s="207"/>
    </row>
    <row r="19" spans="1:21" x14ac:dyDescent="0.25">
      <c r="A19" s="48">
        <f>CTP!A22</f>
        <v>2033</v>
      </c>
      <c r="B19" s="201">
        <v>13.7</v>
      </c>
      <c r="C19" s="202">
        <v>28.81</v>
      </c>
      <c r="D19" s="203">
        <v>23.77</v>
      </c>
      <c r="E19" s="201">
        <v>13.7</v>
      </c>
      <c r="F19" s="202">
        <v>28.81</v>
      </c>
      <c r="G19" s="203">
        <v>23.77</v>
      </c>
      <c r="H19" s="31"/>
      <c r="I19" s="276">
        <f t="shared" si="5"/>
        <v>2033</v>
      </c>
      <c r="J19" s="277">
        <f t="shared" si="6"/>
        <v>24.280920999999999</v>
      </c>
      <c r="K19" s="278">
        <f t="shared" si="0"/>
        <v>51.0608273</v>
      </c>
      <c r="L19" s="279">
        <f t="shared" si="1"/>
        <v>42.128284099999995</v>
      </c>
      <c r="M19" s="280">
        <f t="shared" si="2"/>
        <v>24.280920999999999</v>
      </c>
      <c r="N19" s="281">
        <f t="shared" si="3"/>
        <v>51.0608273</v>
      </c>
      <c r="O19" s="281">
        <f t="shared" si="4"/>
        <v>42.128284099999995</v>
      </c>
      <c r="P19" s="31"/>
      <c r="U19" s="207"/>
    </row>
    <row r="20" spans="1:21" ht="15.75" thickBot="1" x14ac:dyDescent="0.3">
      <c r="A20" s="49">
        <f>CTP!A23</f>
        <v>2034</v>
      </c>
      <c r="B20" s="204">
        <v>13.92</v>
      </c>
      <c r="C20" s="205">
        <v>28.93</v>
      </c>
      <c r="D20" s="206">
        <v>23.87</v>
      </c>
      <c r="E20" s="204">
        <v>13.92</v>
      </c>
      <c r="F20" s="205">
        <v>28.93</v>
      </c>
      <c r="G20" s="206">
        <v>23.87</v>
      </c>
      <c r="H20" s="34"/>
      <c r="I20" s="282">
        <f t="shared" si="5"/>
        <v>2034</v>
      </c>
      <c r="J20" s="283">
        <f t="shared" si="6"/>
        <v>24.670833599999998</v>
      </c>
      <c r="K20" s="284">
        <f t="shared" si="0"/>
        <v>51.273506900000001</v>
      </c>
      <c r="L20" s="285">
        <f t="shared" si="1"/>
        <v>42.305517100000003</v>
      </c>
      <c r="M20" s="286">
        <f t="shared" si="2"/>
        <v>24.670833599999998</v>
      </c>
      <c r="N20" s="287">
        <f t="shared" si="3"/>
        <v>51.273506900000001</v>
      </c>
      <c r="O20" s="287">
        <f t="shared" si="4"/>
        <v>42.305517100000003</v>
      </c>
      <c r="P20" s="34"/>
      <c r="U20" s="207"/>
    </row>
    <row r="21" spans="1:21" ht="16.5" thickTop="1" thickBo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U21" s="208"/>
    </row>
    <row r="22" spans="1:21" ht="15.75" thickTop="1" x14ac:dyDescent="0.25"/>
  </sheetData>
  <mergeCells count="9">
    <mergeCell ref="M3:O3"/>
    <mergeCell ref="J3:L3"/>
    <mergeCell ref="A1:G1"/>
    <mergeCell ref="I1:O1"/>
    <mergeCell ref="B3:D3"/>
    <mergeCell ref="E3:G3"/>
    <mergeCell ref="A2:G2"/>
    <mergeCell ref="I2:O2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21"/>
  <sheetViews>
    <sheetView topLeftCell="H1" zoomScale="70" zoomScaleNormal="70" workbookViewId="0">
      <selection activeCell="K29" sqref="K29"/>
    </sheetView>
  </sheetViews>
  <sheetFormatPr baseColWidth="10" defaultRowHeight="15" x14ac:dyDescent="0.25"/>
  <cols>
    <col min="1" max="1" width="7.7109375" bestFit="1" customWidth="1"/>
    <col min="2" max="2" width="8.5703125" customWidth="1"/>
    <col min="3" max="4" width="9.28515625" bestFit="1" customWidth="1"/>
    <col min="5" max="5" width="8.5703125" customWidth="1"/>
    <col min="6" max="7" width="9.28515625" bestFit="1" customWidth="1"/>
    <col min="8" max="8" width="3.5703125" customWidth="1"/>
    <col min="10" max="10" width="7.7109375" bestFit="1" customWidth="1"/>
    <col min="11" max="11" width="9.28515625" bestFit="1" customWidth="1"/>
    <col min="12" max="13" width="8.5703125" customWidth="1"/>
    <col min="14" max="14" width="9.28515625" bestFit="1" customWidth="1"/>
    <col min="15" max="16" width="8.5703125" customWidth="1"/>
    <col min="17" max="17" width="3.5703125" customWidth="1"/>
    <col min="19" max="19" width="7.7109375" bestFit="1" customWidth="1"/>
    <col min="20" max="25" width="8.5703125" customWidth="1"/>
    <col min="26" max="26" width="3.5703125" customWidth="1"/>
  </cols>
  <sheetData>
    <row r="1" spans="1:26" ht="34.5" customHeight="1" x14ac:dyDescent="0.25">
      <c r="A1" s="345" t="s">
        <v>22</v>
      </c>
      <c r="B1" s="345"/>
      <c r="C1" s="345"/>
      <c r="D1" s="345"/>
      <c r="E1" s="345"/>
      <c r="F1" s="345"/>
      <c r="G1" s="345"/>
      <c r="H1" s="345"/>
      <c r="I1" s="44"/>
      <c r="J1" s="345" t="s">
        <v>87</v>
      </c>
      <c r="K1" s="345"/>
      <c r="L1" s="345"/>
      <c r="M1" s="345"/>
      <c r="N1" s="345"/>
      <c r="O1" s="345"/>
      <c r="P1" s="345"/>
      <c r="Q1" s="345"/>
      <c r="R1" s="44"/>
      <c r="S1" s="345" t="s">
        <v>88</v>
      </c>
      <c r="T1" s="345"/>
      <c r="U1" s="345"/>
      <c r="V1" s="345"/>
      <c r="W1" s="345"/>
      <c r="X1" s="345"/>
      <c r="Y1" s="345"/>
      <c r="Z1" s="345"/>
    </row>
    <row r="2" spans="1:26" x14ac:dyDescent="0.25">
      <c r="A2" s="293" t="str">
        <f>COV!A2</f>
        <v>Av. Crecer en Grande</v>
      </c>
      <c r="B2" s="293"/>
      <c r="C2" s="293"/>
      <c r="D2" s="293"/>
      <c r="E2" s="293"/>
      <c r="F2" s="293"/>
      <c r="G2" s="293"/>
      <c r="H2" s="34"/>
      <c r="I2" s="44"/>
      <c r="J2" s="293" t="str">
        <f>A2</f>
        <v>Av. Crecer en Grande</v>
      </c>
      <c r="K2" s="293"/>
      <c r="L2" s="293"/>
      <c r="M2" s="293"/>
      <c r="N2" s="293"/>
      <c r="O2" s="293"/>
      <c r="P2" s="293"/>
      <c r="Q2" s="34"/>
      <c r="R2" s="44"/>
      <c r="S2" s="293" t="str">
        <f>J2</f>
        <v>Av. Crecer en Grande</v>
      </c>
      <c r="T2" s="293"/>
      <c r="U2" s="293"/>
      <c r="V2" s="293"/>
      <c r="W2" s="293"/>
      <c r="X2" s="293"/>
      <c r="Y2" s="293"/>
      <c r="Z2" s="34"/>
    </row>
    <row r="3" spans="1:26" ht="15" customHeight="1" x14ac:dyDescent="0.25">
      <c r="A3" s="331" t="s">
        <v>1</v>
      </c>
      <c r="B3" s="338" t="s">
        <v>62</v>
      </c>
      <c r="C3" s="339"/>
      <c r="D3" s="340"/>
      <c r="E3" s="351" t="s">
        <v>63</v>
      </c>
      <c r="F3" s="341"/>
      <c r="G3" s="341"/>
      <c r="H3" s="34"/>
      <c r="I3" s="44"/>
      <c r="J3" s="331" t="s">
        <v>1</v>
      </c>
      <c r="K3" s="342" t="s">
        <v>62</v>
      </c>
      <c r="L3" s="343"/>
      <c r="M3" s="344"/>
      <c r="N3" s="316" t="s">
        <v>63</v>
      </c>
      <c r="O3" s="316"/>
      <c r="P3" s="316"/>
      <c r="Q3" s="34"/>
      <c r="R3" s="44"/>
      <c r="S3" s="348" t="s">
        <v>1</v>
      </c>
      <c r="T3" s="352" t="s">
        <v>62</v>
      </c>
      <c r="U3" s="353"/>
      <c r="V3" s="354"/>
      <c r="W3" s="350" t="s">
        <v>63</v>
      </c>
      <c r="X3" s="350"/>
      <c r="Y3" s="350"/>
      <c r="Z3" s="34"/>
    </row>
    <row r="4" spans="1:26" ht="15.75" thickBot="1" x14ac:dyDescent="0.3">
      <c r="A4" s="332"/>
      <c r="B4" s="154" t="s">
        <v>5</v>
      </c>
      <c r="C4" s="153" t="s">
        <v>6</v>
      </c>
      <c r="D4" s="159" t="s">
        <v>7</v>
      </c>
      <c r="E4" s="150" t="s">
        <v>5</v>
      </c>
      <c r="F4" s="150" t="s">
        <v>6</v>
      </c>
      <c r="G4" s="152" t="s">
        <v>7</v>
      </c>
      <c r="H4" s="34"/>
      <c r="I4" s="44"/>
      <c r="J4" s="332"/>
      <c r="K4" s="154" t="s">
        <v>5</v>
      </c>
      <c r="L4" s="153" t="s">
        <v>6</v>
      </c>
      <c r="M4" s="159" t="s">
        <v>7</v>
      </c>
      <c r="N4" s="150" t="s">
        <v>5</v>
      </c>
      <c r="O4" s="150" t="s">
        <v>6</v>
      </c>
      <c r="P4" s="152" t="s">
        <v>7</v>
      </c>
      <c r="Q4" s="34"/>
      <c r="R4" s="44"/>
      <c r="S4" s="349"/>
      <c r="T4" s="209" t="s">
        <v>5</v>
      </c>
      <c r="U4" s="210" t="s">
        <v>6</v>
      </c>
      <c r="V4" s="211" t="s">
        <v>7</v>
      </c>
      <c r="W4" s="212" t="s">
        <v>5</v>
      </c>
      <c r="X4" s="212" t="s">
        <v>6</v>
      </c>
      <c r="Y4" s="213" t="s">
        <v>7</v>
      </c>
      <c r="Z4" s="34"/>
    </row>
    <row r="5" spans="1:26" ht="15.75" thickTop="1" x14ac:dyDescent="0.25">
      <c r="A5" s="47">
        <f>COV!A5</f>
        <v>2019</v>
      </c>
      <c r="B5" s="229">
        <f>CTP!B8+COV!J5</f>
        <v>23.1754301625</v>
      </c>
      <c r="C5" s="229">
        <f>CTP!C8+COV!K5</f>
        <v>77.079897649999992</v>
      </c>
      <c r="D5" s="230">
        <f>CTP!D8+COV!L5</f>
        <v>39.4875124</v>
      </c>
      <c r="E5" s="231">
        <f>CTP!E8+COV!M5</f>
        <v>23.1754301625</v>
      </c>
      <c r="F5" s="229">
        <f>CTP!F8+COV!N5</f>
        <v>77.079897649999992</v>
      </c>
      <c r="G5" s="232">
        <f>CTP!G8+COV!O5</f>
        <v>39.4875124</v>
      </c>
      <c r="H5" s="240"/>
      <c r="I5" s="44"/>
      <c r="J5" s="47">
        <f>A5</f>
        <v>2019</v>
      </c>
      <c r="K5" s="45">
        <f>(B5*'PROY TDPA'!C6)/1000</f>
        <v>7.6362347122532608</v>
      </c>
      <c r="L5" s="41">
        <f>(C5*'PROY TDPA'!D6)/1000</f>
        <v>0.11114921241129999</v>
      </c>
      <c r="M5" s="39">
        <f>(D5*'PROY TDPA'!E6)/1000</f>
        <v>0.56940992880800001</v>
      </c>
      <c r="N5" s="35">
        <f>(E5*'PROY TDPA'!F6)/1000</f>
        <v>7.9202959597550251</v>
      </c>
      <c r="O5" s="37">
        <f>(F5*'PROY TDPA'!G6)/1000</f>
        <v>0.11114921241129999</v>
      </c>
      <c r="P5" s="38">
        <f>(G5*'PROY TDPA'!H6)/1000</f>
        <v>0.62635092168880002</v>
      </c>
      <c r="Q5" s="34"/>
      <c r="R5" s="44"/>
      <c r="S5" s="258">
        <f>A5</f>
        <v>2019</v>
      </c>
      <c r="T5" s="214">
        <f>(K5*365)/1000</f>
        <v>2.7872256699724405</v>
      </c>
      <c r="U5" s="215">
        <f t="shared" ref="U5:Y5" si="0">(L5*365)/1000</f>
        <v>4.0569462530124493E-2</v>
      </c>
      <c r="V5" s="216">
        <f t="shared" si="0"/>
        <v>0.20783462401492001</v>
      </c>
      <c r="W5" s="217">
        <f>(N5*365)/1000</f>
        <v>2.8909080253105839</v>
      </c>
      <c r="X5" s="218">
        <f t="shared" si="0"/>
        <v>4.0569462530124493E-2</v>
      </c>
      <c r="Y5" s="219">
        <f t="shared" si="0"/>
        <v>0.22861808641641201</v>
      </c>
      <c r="Z5" s="34"/>
    </row>
    <row r="6" spans="1:26" x14ac:dyDescent="0.25">
      <c r="A6" s="48">
        <f>COV!A6</f>
        <v>2020</v>
      </c>
      <c r="B6" s="233">
        <f>CTP!B9+COV!J6</f>
        <v>23.384011249375</v>
      </c>
      <c r="C6" s="233">
        <f>CTP!C9+COV!K6</f>
        <v>78.117280377500009</v>
      </c>
      <c r="D6" s="234">
        <f>CTP!D9+COV!L6</f>
        <v>39.576128899999993</v>
      </c>
      <c r="E6" s="235">
        <f>CTP!E9+COV!M6</f>
        <v>23.384011249375</v>
      </c>
      <c r="F6" s="233">
        <f>CTP!F9+COV!N6</f>
        <v>78.117280377499995</v>
      </c>
      <c r="G6" s="236">
        <f>CTP!G9+COV!O6</f>
        <v>39.576128899999993</v>
      </c>
      <c r="H6" s="240"/>
      <c r="I6" s="44"/>
      <c r="J6" s="48">
        <f t="shared" ref="J6:J20" si="1">A6</f>
        <v>2020</v>
      </c>
      <c r="K6" s="42">
        <f>(B6*'PROY TDPA'!C7)/1000</f>
        <v>7.9361104012743731</v>
      </c>
      <c r="L6" s="43">
        <f>(C6*'PROY TDPA'!D7)/1000</f>
        <v>0.11602447185348566</v>
      </c>
      <c r="M6" s="40">
        <f>(D6*'PROY TDPA'!E7)/1000</f>
        <v>0.5878084121001399</v>
      </c>
      <c r="N6" s="36">
        <f>(E6*'PROY TDPA'!F7)/1000</f>
        <v>8.2313267619344721</v>
      </c>
      <c r="O6" s="38">
        <f>(F6*'PROY TDPA'!G7)/1000</f>
        <v>0.11602447185348565</v>
      </c>
      <c r="P6" s="38">
        <f>(G6*'PROY TDPA'!H7)/1000</f>
        <v>0.64658925331015382</v>
      </c>
      <c r="Q6" s="34"/>
      <c r="R6" s="44"/>
      <c r="S6" s="259">
        <f t="shared" ref="S6:S20" si="2">A6</f>
        <v>2020</v>
      </c>
      <c r="T6" s="220">
        <f t="shared" ref="T6:T20" si="3">(K6*365)/1000</f>
        <v>2.8966802964651461</v>
      </c>
      <c r="U6" s="221">
        <f t="shared" ref="U6:U20" si="4">(L6*365)/1000</f>
        <v>4.2348932226522265E-2</v>
      </c>
      <c r="V6" s="222">
        <f t="shared" ref="V6:V20" si="5">(M6*365)/1000</f>
        <v>0.21455007041655105</v>
      </c>
      <c r="W6" s="223">
        <f t="shared" ref="W6:W20" si="6">(N6*365)/1000</f>
        <v>3.0044342681060825</v>
      </c>
      <c r="X6" s="219">
        <f t="shared" ref="X6:X20" si="7">(O6*365)/1000</f>
        <v>4.2348932226522258E-2</v>
      </c>
      <c r="Y6" s="219">
        <f t="shared" ref="Y6:Y20" si="8">(P6*365)/1000</f>
        <v>0.23600507745820612</v>
      </c>
      <c r="Z6" s="34"/>
    </row>
    <row r="7" spans="1:26" x14ac:dyDescent="0.25">
      <c r="A7" s="48">
        <f>COV!A7</f>
        <v>2021</v>
      </c>
      <c r="B7" s="233">
        <f>CTP!B10+COV!J7</f>
        <v>23.68321267685625</v>
      </c>
      <c r="C7" s="233">
        <f>CTP!C10+COV!K7</f>
        <v>79.180999295824989</v>
      </c>
      <c r="D7" s="234">
        <f>CTP!D10+COV!L7</f>
        <v>39.717915300000001</v>
      </c>
      <c r="E7" s="235">
        <f>CTP!E10+COV!M7</f>
        <v>23.68321267685625</v>
      </c>
      <c r="F7" s="233">
        <f>CTP!F10+COV!N7</f>
        <v>79.180999295824989</v>
      </c>
      <c r="G7" s="236">
        <f>CTP!G10+COV!O7</f>
        <v>39.717915300000001</v>
      </c>
      <c r="H7" s="240"/>
      <c r="I7" s="44"/>
      <c r="J7" s="48">
        <f t="shared" si="1"/>
        <v>2021</v>
      </c>
      <c r="K7" s="42">
        <f>(B7*'PROY TDPA'!C8)/1000</f>
        <v>8.2787835718039169</v>
      </c>
      <c r="L7" s="43">
        <f>(C7*'PROY TDPA'!D8)/1000</f>
        <v>0.12113250214454054</v>
      </c>
      <c r="M7" s="40">
        <f>(D7*'PROY TDPA'!E8)/1000</f>
        <v>0.60761173804832347</v>
      </c>
      <c r="N7" s="36">
        <f>(E7*'PROY TDPA'!F8)/1000</f>
        <v>8.5867470744749621</v>
      </c>
      <c r="O7" s="38">
        <f>(F7*'PROY TDPA'!G8)/1000</f>
        <v>0.12113250214454054</v>
      </c>
      <c r="P7" s="38">
        <f>(G7*'PROY TDPA'!H8)/1000</f>
        <v>0.66837291185315573</v>
      </c>
      <c r="Q7" s="34"/>
      <c r="R7" s="44"/>
      <c r="S7" s="259">
        <f t="shared" si="2"/>
        <v>2021</v>
      </c>
      <c r="T7" s="220">
        <f t="shared" si="3"/>
        <v>3.0217560037084294</v>
      </c>
      <c r="U7" s="221">
        <f t="shared" si="4"/>
        <v>4.4213363282757295E-2</v>
      </c>
      <c r="V7" s="222">
        <f t="shared" si="5"/>
        <v>0.22177828438763805</v>
      </c>
      <c r="W7" s="223">
        <f t="shared" si="6"/>
        <v>3.1341626821833612</v>
      </c>
      <c r="X7" s="219">
        <f t="shared" si="7"/>
        <v>4.4213363282757295E-2</v>
      </c>
      <c r="Y7" s="219">
        <f t="shared" si="8"/>
        <v>0.24395611282640184</v>
      </c>
      <c r="Z7" s="34"/>
    </row>
    <row r="8" spans="1:26" x14ac:dyDescent="0.25">
      <c r="A8" s="48">
        <f>COV!A8</f>
        <v>2022</v>
      </c>
      <c r="B8" s="233">
        <f>CTP!B11+COV!J8</f>
        <v>23.93130816016194</v>
      </c>
      <c r="C8" s="233">
        <f>CTP!C11+COV!K8</f>
        <v>80.307291090699749</v>
      </c>
      <c r="D8" s="234">
        <f>CTP!D11+COV!L8</f>
        <v>39.877425000000002</v>
      </c>
      <c r="E8" s="235">
        <f>CTP!E11+COV!M8</f>
        <v>23.93130816016194</v>
      </c>
      <c r="F8" s="233">
        <f>CTP!F11+COV!N8</f>
        <v>80.307291090699749</v>
      </c>
      <c r="G8" s="236">
        <f>CTP!G11+COV!O8</f>
        <v>39.877425000000002</v>
      </c>
      <c r="H8" s="240"/>
      <c r="I8" s="44"/>
      <c r="J8" s="48">
        <f t="shared" si="1"/>
        <v>2022</v>
      </c>
      <c r="K8" s="42">
        <f>(B8*'PROY TDPA'!C9)/1000</f>
        <v>8.6164739242909807</v>
      </c>
      <c r="L8" s="43">
        <f>(C8*'PROY TDPA'!D9)/1000</f>
        <v>0.12654118908174392</v>
      </c>
      <c r="M8" s="40">
        <f>(D8*'PROY TDPA'!E9)/1000</f>
        <v>0.62835350420659963</v>
      </c>
      <c r="N8" s="36">
        <f>(E8*'PROY TDPA'!F9)/1000</f>
        <v>8.936999212503121</v>
      </c>
      <c r="O8" s="38">
        <f>(F8*'PROY TDPA'!G9)/1000</f>
        <v>0.12654118908174392</v>
      </c>
      <c r="P8" s="38">
        <f>(G8*'PROY TDPA'!H9)/1000</f>
        <v>0.69118885462725965</v>
      </c>
      <c r="Q8" s="34"/>
      <c r="R8" s="44"/>
      <c r="S8" s="259">
        <f t="shared" si="2"/>
        <v>2022</v>
      </c>
      <c r="T8" s="220">
        <f t="shared" si="3"/>
        <v>3.1450129823662079</v>
      </c>
      <c r="U8" s="221">
        <f t="shared" si="4"/>
        <v>4.618753401483653E-2</v>
      </c>
      <c r="V8" s="222">
        <f t="shared" si="5"/>
        <v>0.22934902903540888</v>
      </c>
      <c r="W8" s="223">
        <f t="shared" si="6"/>
        <v>3.2620047125636393</v>
      </c>
      <c r="X8" s="219">
        <f t="shared" si="7"/>
        <v>4.618753401483653E-2</v>
      </c>
      <c r="Y8" s="219">
        <f t="shared" si="8"/>
        <v>0.25228393193894977</v>
      </c>
      <c r="Z8" s="34"/>
    </row>
    <row r="9" spans="1:26" x14ac:dyDescent="0.25">
      <c r="A9" s="48">
        <f>COV!A9</f>
        <v>2023</v>
      </c>
      <c r="B9" s="233">
        <f>CTP!B12+COV!J9</f>
        <v>24.199252817966798</v>
      </c>
      <c r="C9" s="233">
        <f>CTP!C12+COV!K9</f>
        <v>81.479246250420744</v>
      </c>
      <c r="D9" s="234">
        <f>CTP!D12+COV!L9</f>
        <v>40.125551199999997</v>
      </c>
      <c r="E9" s="235">
        <f>CTP!E12+COV!M9</f>
        <v>24.199252817966798</v>
      </c>
      <c r="F9" s="233">
        <f>CTP!F12+COV!N9</f>
        <v>81.479246250420744</v>
      </c>
      <c r="G9" s="236">
        <f>CTP!G12+COV!O9</f>
        <v>40.125551199999997</v>
      </c>
      <c r="H9" s="240"/>
      <c r="I9" s="44"/>
      <c r="J9" s="48">
        <f t="shared" si="1"/>
        <v>2023</v>
      </c>
      <c r="K9" s="42">
        <f>(B9*'PROY TDPA'!C10)/1000</f>
        <v>8.9743358943351108</v>
      </c>
      <c r="L9" s="43">
        <f>(C9*'PROY TDPA'!D10)/1000</f>
        <v>0.13223948888026554</v>
      </c>
      <c r="M9" s="40">
        <f>(D9*'PROY TDPA'!E10)/1000</f>
        <v>0.65123115712420165</v>
      </c>
      <c r="N9" s="36">
        <f>(E9*'PROY TDPA'!F10)/1000</f>
        <v>9.3081733346057849</v>
      </c>
      <c r="O9" s="38">
        <f>(F9*'PROY TDPA'!G10)/1000</f>
        <v>0.13223948888026554</v>
      </c>
      <c r="P9" s="38">
        <f>(G9*'PROY TDPA'!H10)/1000</f>
        <v>0.71635427283662167</v>
      </c>
      <c r="Q9" s="34"/>
      <c r="R9" s="44"/>
      <c r="S9" s="259">
        <f t="shared" si="2"/>
        <v>2023</v>
      </c>
      <c r="T9" s="220">
        <f t="shared" si="3"/>
        <v>3.2756326014323154</v>
      </c>
      <c r="U9" s="221">
        <f t="shared" si="4"/>
        <v>4.8267413441296925E-2</v>
      </c>
      <c r="V9" s="222">
        <f t="shared" si="5"/>
        <v>0.23769937235033359</v>
      </c>
      <c r="W9" s="223">
        <f t="shared" si="6"/>
        <v>3.3974832671311113</v>
      </c>
      <c r="X9" s="219">
        <f t="shared" si="7"/>
        <v>4.8267413441296925E-2</v>
      </c>
      <c r="Y9" s="219">
        <f t="shared" si="8"/>
        <v>0.2614693095853669</v>
      </c>
      <c r="Z9" s="34"/>
    </row>
    <row r="10" spans="1:26" x14ac:dyDescent="0.25">
      <c r="A10" s="48">
        <f>COV!A10</f>
        <v>2024</v>
      </c>
      <c r="B10" s="233">
        <f>CTP!B13+COV!J10</f>
        <v>24.469387126505801</v>
      </c>
      <c r="C10" s="233">
        <f>CTP!C13+COV!K10</f>
        <v>82.679979676933357</v>
      </c>
      <c r="D10" s="234">
        <f>CTP!D13+COV!L10</f>
        <v>40.214167700000004</v>
      </c>
      <c r="E10" s="235">
        <f>CTP!E13+COV!M10</f>
        <v>24.469387126505801</v>
      </c>
      <c r="F10" s="233">
        <f>CTP!F13+COV!N10</f>
        <v>82.679979676933357</v>
      </c>
      <c r="G10" s="236">
        <f>CTP!G13+COV!O10</f>
        <v>40.214167700000004</v>
      </c>
      <c r="H10" s="240"/>
      <c r="I10" s="44"/>
      <c r="J10" s="48">
        <f t="shared" si="1"/>
        <v>2024</v>
      </c>
      <c r="K10" s="42">
        <f>(B10*'PROY TDPA'!C11)/1000</f>
        <v>9.3467511529903415</v>
      </c>
      <c r="L10" s="43">
        <f>(C10*'PROY TDPA'!D11)/1000</f>
        <v>0.13821390745429865</v>
      </c>
      <c r="M10" s="40">
        <f>(D10*'PROY TDPA'!E11)/1000</f>
        <v>0.67224947013262282</v>
      </c>
      <c r="N10" s="36">
        <f>(E10*'PROY TDPA'!F11)/1000</f>
        <v>9.6944421149177753</v>
      </c>
      <c r="O10" s="38">
        <f>(F10*'PROY TDPA'!G11)/1000</f>
        <v>0.13821390745429865</v>
      </c>
      <c r="P10" s="38">
        <f>(G10*'PROY TDPA'!H11)/1000</f>
        <v>0.73947441714588502</v>
      </c>
      <c r="Q10" s="34"/>
      <c r="R10" s="44"/>
      <c r="S10" s="259">
        <f t="shared" si="2"/>
        <v>2024</v>
      </c>
      <c r="T10" s="220">
        <f t="shared" si="3"/>
        <v>3.4115641708414746</v>
      </c>
      <c r="U10" s="221">
        <f t="shared" si="4"/>
        <v>5.0448076220819003E-2</v>
      </c>
      <c r="V10" s="222">
        <f t="shared" si="5"/>
        <v>0.24537105659840733</v>
      </c>
      <c r="W10" s="223">
        <f t="shared" si="6"/>
        <v>3.5384713719449876</v>
      </c>
      <c r="X10" s="219">
        <f t="shared" si="7"/>
        <v>5.0448076220819003E-2</v>
      </c>
      <c r="Y10" s="219">
        <f t="shared" si="8"/>
        <v>0.26990816225824799</v>
      </c>
      <c r="Z10" s="34"/>
    </row>
    <row r="11" spans="1:26" x14ac:dyDescent="0.25">
      <c r="A11" s="48">
        <f>COV!A11</f>
        <v>2025</v>
      </c>
      <c r="B11" s="233">
        <f>CTP!B14+COV!J11</f>
        <v>24.759500075300974</v>
      </c>
      <c r="C11" s="233">
        <f>CTP!C14+COV!K11</f>
        <v>83.821738218241364</v>
      </c>
      <c r="D11" s="234">
        <f>CTP!D14+COV!L11</f>
        <v>40.409123999999998</v>
      </c>
      <c r="E11" s="235">
        <f>CTP!E14+COV!M11</f>
        <v>24.759500075300974</v>
      </c>
      <c r="F11" s="233">
        <f>CTP!F14+COV!N11</f>
        <v>83.821738218241364</v>
      </c>
      <c r="G11" s="236">
        <f>CTP!G14+COV!O11</f>
        <v>40.409123999999998</v>
      </c>
      <c r="H11" s="240"/>
      <c r="I11" s="44"/>
      <c r="J11" s="48">
        <f t="shared" si="1"/>
        <v>2025</v>
      </c>
      <c r="K11" s="42">
        <f>(B11*'PROY TDPA'!C12)/1000</f>
        <v>9.741294754144926</v>
      </c>
      <c r="L11" s="43">
        <f>(C11*'PROY TDPA'!D12)/1000</f>
        <v>0.14432623126474009</v>
      </c>
      <c r="M11" s="40">
        <f>(D11*'PROY TDPA'!E12)/1000</f>
        <v>0.69577375745238046</v>
      </c>
      <c r="N11" s="36">
        <f>(E11*'PROY TDPA'!F12)/1000</f>
        <v>10.103662392701743</v>
      </c>
      <c r="O11" s="38">
        <f>(F11*'PROY TDPA'!G12)/1000</f>
        <v>0.14432623126474009</v>
      </c>
      <c r="P11" s="38">
        <f>(G11*'PROY TDPA'!H12)/1000</f>
        <v>0.76535113319761827</v>
      </c>
      <c r="Q11" s="34"/>
      <c r="R11" s="44"/>
      <c r="S11" s="259">
        <f t="shared" si="2"/>
        <v>2025</v>
      </c>
      <c r="T11" s="220">
        <f t="shared" si="3"/>
        <v>3.5555725852628979</v>
      </c>
      <c r="U11" s="221">
        <f t="shared" si="4"/>
        <v>5.2679074411630132E-2</v>
      </c>
      <c r="V11" s="222">
        <f t="shared" si="5"/>
        <v>0.25395742147011885</v>
      </c>
      <c r="W11" s="223">
        <f t="shared" si="6"/>
        <v>3.6878367733361359</v>
      </c>
      <c r="X11" s="219">
        <f t="shared" si="7"/>
        <v>5.2679074411630132E-2</v>
      </c>
      <c r="Y11" s="219">
        <f t="shared" si="8"/>
        <v>0.2793531636171307</v>
      </c>
      <c r="Z11" s="34"/>
    </row>
    <row r="12" spans="1:26" x14ac:dyDescent="0.25">
      <c r="A12" s="48">
        <f>COV!A12</f>
        <v>2026</v>
      </c>
      <c r="B12" s="233">
        <f>CTP!B15+COV!J12</f>
        <v>25.193722424560001</v>
      </c>
      <c r="C12" s="233">
        <f>CTP!C15+COV!K12</f>
        <v>85.135814022788608</v>
      </c>
      <c r="D12" s="234">
        <f>CTP!D15+COV!L12</f>
        <v>40.515463799999999</v>
      </c>
      <c r="E12" s="235">
        <f>CTP!E15+COV!M12</f>
        <v>25.193722424560001</v>
      </c>
      <c r="F12" s="233">
        <f>CTP!F15+COV!N12</f>
        <v>85.135814022788608</v>
      </c>
      <c r="G12" s="236">
        <f>CTP!G15+COV!O12</f>
        <v>40.515463799999999</v>
      </c>
      <c r="H12" s="240"/>
      <c r="I12" s="44"/>
      <c r="J12" s="48">
        <f t="shared" si="1"/>
        <v>2026</v>
      </c>
      <c r="K12" s="42">
        <f>(B12*'PROY TDPA'!C13)/1000</f>
        <v>10.209497752608783</v>
      </c>
      <c r="L12" s="43">
        <f>(C12*'PROY TDPA'!D13)/1000</f>
        <v>0.15098650288210846</v>
      </c>
      <c r="M12" s="40">
        <f>(D12*'PROY TDPA'!E13)/1000</f>
        <v>0.71853288325536224</v>
      </c>
      <c r="N12" s="36">
        <f>(E12*'PROY TDPA'!F13)/1000</f>
        <v>10.589282132902765</v>
      </c>
      <c r="O12" s="38">
        <f>(F12*'PROY TDPA'!G13)/1000</f>
        <v>0.15098650288210846</v>
      </c>
      <c r="P12" s="38">
        <f>(G12*'PROY TDPA'!H13)/1000</f>
        <v>0.79038617158089841</v>
      </c>
      <c r="Q12" s="34"/>
      <c r="R12" s="44"/>
      <c r="S12" s="259">
        <f t="shared" si="2"/>
        <v>2026</v>
      </c>
      <c r="T12" s="220">
        <f t="shared" si="3"/>
        <v>3.7264666797022059</v>
      </c>
      <c r="U12" s="221">
        <f t="shared" si="4"/>
        <v>5.5110073551969591E-2</v>
      </c>
      <c r="V12" s="222">
        <f t="shared" si="5"/>
        <v>0.26226450238820725</v>
      </c>
      <c r="W12" s="223">
        <f t="shared" si="6"/>
        <v>3.8650879785095094</v>
      </c>
      <c r="X12" s="219">
        <f t="shared" si="7"/>
        <v>5.5110073551969591E-2</v>
      </c>
      <c r="Y12" s="219">
        <f t="shared" si="8"/>
        <v>0.2884909526270279</v>
      </c>
      <c r="Z12" s="34"/>
    </row>
    <row r="13" spans="1:26" x14ac:dyDescent="0.25">
      <c r="A13" s="48">
        <f>COV!A13</f>
        <v>2027</v>
      </c>
      <c r="B13" s="233">
        <f>CTP!B16+COV!J13</f>
        <v>25.523997664296804</v>
      </c>
      <c r="C13" s="233">
        <f>CTP!C16+COV!K13</f>
        <v>86.499059916472262</v>
      </c>
      <c r="D13" s="234">
        <f>CTP!D16+COV!L13</f>
        <v>40.834483200000001</v>
      </c>
      <c r="E13" s="235">
        <f>CTP!E16+COV!M13</f>
        <v>25.523997664296804</v>
      </c>
      <c r="F13" s="233">
        <f>CTP!F16+COV!N13</f>
        <v>86.499059916472277</v>
      </c>
      <c r="G13" s="236">
        <f>CTP!G16+COV!O13</f>
        <v>40.834483200000001</v>
      </c>
      <c r="H13" s="240"/>
      <c r="I13" s="44"/>
      <c r="J13" s="48">
        <f t="shared" si="1"/>
        <v>2027</v>
      </c>
      <c r="K13" s="42">
        <f>(B13*'PROY TDPA'!C14)/1000</f>
        <v>10.65363856010867</v>
      </c>
      <c r="L13" s="43">
        <f>(C13*'PROY TDPA'!D14)/1000</f>
        <v>0.15800631532763298</v>
      </c>
      <c r="M13" s="40">
        <f>(D13*'PROY TDPA'!E14)/1000</f>
        <v>0.74591634116840133</v>
      </c>
      <c r="N13" s="36">
        <f>(E13*'PROY TDPA'!F14)/1000</f>
        <v>11.049944589696961</v>
      </c>
      <c r="O13" s="38">
        <f>(F13*'PROY TDPA'!G14)/1000</f>
        <v>0.15800631532763301</v>
      </c>
      <c r="P13" s="38">
        <f>(G13*'PROY TDPA'!H14)/1000</f>
        <v>0.82050797528524144</v>
      </c>
      <c r="Q13" s="34"/>
      <c r="R13" s="44"/>
      <c r="S13" s="259">
        <f t="shared" si="2"/>
        <v>2027</v>
      </c>
      <c r="T13" s="220">
        <f t="shared" si="3"/>
        <v>3.8885780744396645</v>
      </c>
      <c r="U13" s="221">
        <f t="shared" si="4"/>
        <v>5.7672305094586034E-2</v>
      </c>
      <c r="V13" s="222">
        <f t="shared" si="5"/>
        <v>0.27225946452646649</v>
      </c>
      <c r="W13" s="223">
        <f t="shared" si="6"/>
        <v>4.0332297752393913</v>
      </c>
      <c r="X13" s="219">
        <f t="shared" si="7"/>
        <v>5.7672305094586047E-2</v>
      </c>
      <c r="Y13" s="219">
        <f t="shared" si="8"/>
        <v>0.29948541097911313</v>
      </c>
      <c r="Z13" s="34"/>
    </row>
    <row r="14" spans="1:26" x14ac:dyDescent="0.25">
      <c r="A14" s="48">
        <f>COV!A14</f>
        <v>2028</v>
      </c>
      <c r="B14" s="233">
        <f>CTP!B17+COV!J14</f>
        <v>25.892183975225709</v>
      </c>
      <c r="C14" s="233">
        <f>CTP!C17+COV!K14</f>
        <v>87.75290960296644</v>
      </c>
      <c r="D14" s="234">
        <f>CTP!D17+COV!L14</f>
        <v>40.958546299999995</v>
      </c>
      <c r="E14" s="235">
        <f>CTP!E17+COV!M14</f>
        <v>25.892183975225709</v>
      </c>
      <c r="F14" s="233">
        <f>CTP!F17+COV!N14</f>
        <v>87.75290960296644</v>
      </c>
      <c r="G14" s="236">
        <f>CTP!G17+COV!O14</f>
        <v>40.958546299999995</v>
      </c>
      <c r="H14" s="240"/>
      <c r="I14" s="44"/>
      <c r="J14" s="48">
        <f t="shared" si="1"/>
        <v>2028</v>
      </c>
      <c r="K14" s="42">
        <f>(B14*'PROY TDPA'!C15)/1000</f>
        <v>11.131537952200985</v>
      </c>
      <c r="L14" s="43">
        <f>(C14*'PROY TDPA'!D15)/1000</f>
        <v>0.165105601570743</v>
      </c>
      <c r="M14" s="40">
        <f>(D14*'PROY TDPA'!E15)/1000</f>
        <v>0.7706280574537242</v>
      </c>
      <c r="N14" s="36">
        <f>(E14*'PROY TDPA'!F15)/1000</f>
        <v>11.545621420882426</v>
      </c>
      <c r="O14" s="38">
        <f>(F14*'PROY TDPA'!G15)/1000</f>
        <v>0.165105601570743</v>
      </c>
      <c r="P14" s="38">
        <f>(G14*'PROY TDPA'!H15)/1000</f>
        <v>0.84769086319909659</v>
      </c>
      <c r="Q14" s="34"/>
      <c r="R14" s="44"/>
      <c r="S14" s="259">
        <f t="shared" si="2"/>
        <v>2028</v>
      </c>
      <c r="T14" s="220">
        <f t="shared" si="3"/>
        <v>4.0630113525533593</v>
      </c>
      <c r="U14" s="221">
        <f t="shared" si="4"/>
        <v>6.0263544573321198E-2</v>
      </c>
      <c r="V14" s="222">
        <f t="shared" si="5"/>
        <v>0.28127924097060936</v>
      </c>
      <c r="W14" s="223">
        <f t="shared" si="6"/>
        <v>4.2141518186220859</v>
      </c>
      <c r="X14" s="219">
        <f t="shared" si="7"/>
        <v>6.0263544573321198E-2</v>
      </c>
      <c r="Y14" s="219">
        <f t="shared" si="8"/>
        <v>0.30940716506767024</v>
      </c>
      <c r="Z14" s="34"/>
    </row>
    <row r="15" spans="1:26" x14ac:dyDescent="0.25">
      <c r="A15" s="48">
        <f>COV!A15</f>
        <v>2029</v>
      </c>
      <c r="B15" s="233">
        <f>CTP!B18+COV!J15</f>
        <v>26.121122291482479</v>
      </c>
      <c r="C15" s="233">
        <f>CTP!C18+COV!K15</f>
        <v>89.217354188055424</v>
      </c>
      <c r="D15" s="234">
        <f>CTP!D18+COV!L15</f>
        <v>41.224395800000003</v>
      </c>
      <c r="E15" s="235">
        <f>CTP!E18+COV!M15</f>
        <v>26.121122291482479</v>
      </c>
      <c r="F15" s="233">
        <f>CTP!F18+COV!N15</f>
        <v>89.217354188055424</v>
      </c>
      <c r="G15" s="236">
        <f>CTP!G18+COV!O15</f>
        <v>41.224395800000003</v>
      </c>
      <c r="H15" s="240"/>
      <c r="I15" s="44"/>
      <c r="J15" s="48">
        <f t="shared" si="1"/>
        <v>2029</v>
      </c>
      <c r="K15" s="42">
        <f>(B15*'PROY TDPA'!C16)/1000</f>
        <v>11.566861735284007</v>
      </c>
      <c r="L15" s="43">
        <f>(C15*'PROY TDPA'!D16)/1000</f>
        <v>0.17289675693293613</v>
      </c>
      <c r="M15" s="40">
        <f>(D15*'PROY TDPA'!E16)/1000</f>
        <v>0.79889886953114841</v>
      </c>
      <c r="N15" s="36">
        <f>(E15*'PROY TDPA'!F16)/1000</f>
        <v>11.997138867668752</v>
      </c>
      <c r="O15" s="38">
        <f>(F15*'PROY TDPA'!G16)/1000</f>
        <v>0.17289675693293613</v>
      </c>
      <c r="P15" s="38">
        <f>(G15*'PROY TDPA'!H16)/1000</f>
        <v>0.87878875648426313</v>
      </c>
      <c r="Q15" s="34"/>
      <c r="R15" s="44"/>
      <c r="S15" s="259">
        <f t="shared" si="2"/>
        <v>2029</v>
      </c>
      <c r="T15" s="220">
        <f t="shared" si="3"/>
        <v>4.2219045333786624</v>
      </c>
      <c r="U15" s="221">
        <f t="shared" si="4"/>
        <v>6.3107316280521686E-2</v>
      </c>
      <c r="V15" s="222">
        <f t="shared" si="5"/>
        <v>0.29159808737886922</v>
      </c>
      <c r="W15" s="223">
        <f t="shared" si="6"/>
        <v>4.3789556866990944</v>
      </c>
      <c r="X15" s="219">
        <f t="shared" si="7"/>
        <v>6.3107316280521686E-2</v>
      </c>
      <c r="Y15" s="219">
        <f t="shared" si="8"/>
        <v>0.32075789611675604</v>
      </c>
      <c r="Z15" s="34"/>
    </row>
    <row r="16" spans="1:26" x14ac:dyDescent="0.25">
      <c r="A16" s="48">
        <f>COV!A16</f>
        <v>2030</v>
      </c>
      <c r="B16" s="233">
        <f>CTP!B19+COV!J16</f>
        <v>26.512184865226956</v>
      </c>
      <c r="C16" s="233">
        <f>CTP!C19+COV!K16</f>
        <v>90.574375128697085</v>
      </c>
      <c r="D16" s="234">
        <f>CTP!D19+COV!L16</f>
        <v>41.490245299999998</v>
      </c>
      <c r="E16" s="235">
        <f>CTP!E19+COV!M16</f>
        <v>26.512184865226956</v>
      </c>
      <c r="F16" s="233">
        <f>CTP!F19+COV!N16</f>
        <v>90.574375128697099</v>
      </c>
      <c r="G16" s="236">
        <f>CTP!G19+COV!O16</f>
        <v>41.490245299999998</v>
      </c>
      <c r="H16" s="240"/>
      <c r="I16" s="44"/>
      <c r="J16" s="48">
        <f t="shared" si="1"/>
        <v>2030</v>
      </c>
      <c r="K16" s="42">
        <f>(B16*'PROY TDPA'!C17)/1000</f>
        <v>12.0922315821957</v>
      </c>
      <c r="L16" s="43">
        <f>(C16*'PROY TDPA'!D17)/1000</f>
        <v>0.18079236197264156</v>
      </c>
      <c r="M16" s="40">
        <f>(D16*'PROY TDPA'!E17)/1000</f>
        <v>0.82817236508150927</v>
      </c>
      <c r="N16" s="36">
        <f>(E16*'PROY TDPA'!F17)/1000</f>
        <v>12.542052013043245</v>
      </c>
      <c r="O16" s="38">
        <f>(F16*'PROY TDPA'!G17)/1000</f>
        <v>0.18079236197264159</v>
      </c>
      <c r="P16" s="38">
        <f>(G16*'PROY TDPA'!H17)/1000</f>
        <v>0.91098960158966014</v>
      </c>
      <c r="Q16" s="34"/>
      <c r="R16" s="44"/>
      <c r="S16" s="259">
        <f t="shared" si="2"/>
        <v>2030</v>
      </c>
      <c r="T16" s="220">
        <f t="shared" si="3"/>
        <v>4.4136645275014308</v>
      </c>
      <c r="U16" s="221">
        <f t="shared" si="4"/>
        <v>6.5989212120014171E-2</v>
      </c>
      <c r="V16" s="222">
        <f t="shared" si="5"/>
        <v>0.30228291325475087</v>
      </c>
      <c r="W16" s="223">
        <f t="shared" si="6"/>
        <v>4.5778489847607844</v>
      </c>
      <c r="X16" s="219">
        <f t="shared" si="7"/>
        <v>6.5989212120014185E-2</v>
      </c>
      <c r="Y16" s="219">
        <f t="shared" si="8"/>
        <v>0.33251120458022593</v>
      </c>
      <c r="Z16" s="34"/>
    </row>
    <row r="17" spans="1:26" x14ac:dyDescent="0.25">
      <c r="A17" s="48">
        <f>COV!A17</f>
        <v>2031</v>
      </c>
      <c r="B17" s="233">
        <f>CTP!B20+COV!J17</f>
        <v>26.923663733183762</v>
      </c>
      <c r="C17" s="233">
        <f>CTP!C20+COV!K17</f>
        <v>92.161746007558008</v>
      </c>
      <c r="D17" s="234">
        <f>CTP!D20+COV!L17</f>
        <v>41.632031699999999</v>
      </c>
      <c r="E17" s="235">
        <f>CTP!E20+COV!M17</f>
        <v>26.923663733183762</v>
      </c>
      <c r="F17" s="233">
        <f>CTP!F20+COV!N17</f>
        <v>92.161746007558008</v>
      </c>
      <c r="G17" s="236">
        <f>CTP!G20+COV!O17</f>
        <v>41.632031699999999</v>
      </c>
      <c r="H17" s="240"/>
      <c r="I17" s="44"/>
      <c r="J17" s="48">
        <f t="shared" si="1"/>
        <v>2031</v>
      </c>
      <c r="K17" s="42">
        <f>(B17*'PROY TDPA'!C18)/1000</f>
        <v>12.648304691392161</v>
      </c>
      <c r="L17" s="43">
        <f>(C17*'PROY TDPA'!D18)/1000</f>
        <v>0.18947968354372272</v>
      </c>
      <c r="M17" s="40">
        <f>(D17*'PROY TDPA'!E18)/1000</f>
        <v>0.8559325895530796</v>
      </c>
      <c r="N17" s="36">
        <f>(E17*'PROY TDPA'!F18)/1000</f>
        <v>13.118810555185744</v>
      </c>
      <c r="O17" s="38">
        <f>(F17*'PROY TDPA'!G18)/1000</f>
        <v>0.18947968354372272</v>
      </c>
      <c r="P17" s="38">
        <f>(G17*'PROY TDPA'!H18)/1000</f>
        <v>0.9415258485083875</v>
      </c>
      <c r="Q17" s="34"/>
      <c r="R17" s="44"/>
      <c r="S17" s="259">
        <f t="shared" si="2"/>
        <v>2031</v>
      </c>
      <c r="T17" s="220">
        <f t="shared" si="3"/>
        <v>4.6166312123581381</v>
      </c>
      <c r="U17" s="221">
        <f t="shared" si="4"/>
        <v>6.9160084493458798E-2</v>
      </c>
      <c r="V17" s="222">
        <f t="shared" si="5"/>
        <v>0.31241539518687406</v>
      </c>
      <c r="W17" s="223">
        <f t="shared" si="6"/>
        <v>4.788365852642797</v>
      </c>
      <c r="X17" s="219">
        <f t="shared" si="7"/>
        <v>6.9160084493458798E-2</v>
      </c>
      <c r="Y17" s="219">
        <f t="shared" si="8"/>
        <v>0.34365693470556141</v>
      </c>
      <c r="Z17" s="34"/>
    </row>
    <row r="18" spans="1:26" x14ac:dyDescent="0.25">
      <c r="A18" s="48">
        <f>COV!A18</f>
        <v>2032</v>
      </c>
      <c r="B18" s="233">
        <f>CTP!B21+COV!J18</f>
        <v>27.373362985179273</v>
      </c>
      <c r="C18" s="233">
        <f>CTP!C21+COV!K18</f>
        <v>93.608339333784755</v>
      </c>
      <c r="D18" s="234">
        <f>CTP!D21+COV!L18</f>
        <v>41.951051100000001</v>
      </c>
      <c r="E18" s="235">
        <f>CTP!E21+COV!M18</f>
        <v>27.373362985179273</v>
      </c>
      <c r="F18" s="233">
        <f>CTP!F21+COV!N18</f>
        <v>93.608339333784755</v>
      </c>
      <c r="G18" s="236">
        <f>CTP!G21+COV!O18</f>
        <v>41.951051100000001</v>
      </c>
      <c r="H18" s="240"/>
      <c r="I18" s="44"/>
      <c r="J18" s="48">
        <f t="shared" si="1"/>
        <v>2032</v>
      </c>
      <c r="K18" s="42">
        <f>(B18*'PROY TDPA'!C19)/1000</f>
        <v>13.245353160797041</v>
      </c>
      <c r="L18" s="43">
        <f>(C18*'PROY TDPA'!D19)/1000</f>
        <v>0.1982274171318468</v>
      </c>
      <c r="M18" s="40">
        <f>(D18*'PROY TDPA'!E19)/1000</f>
        <v>0.88836620377024433</v>
      </c>
      <c r="N18" s="36">
        <f>(E18*'PROY TDPA'!F19)/1000</f>
        <v>13.73806870507177</v>
      </c>
      <c r="O18" s="38">
        <f>(F18*'PROY TDPA'!G19)/1000</f>
        <v>0.1982274171318468</v>
      </c>
      <c r="P18" s="38">
        <f>(G18*'PROY TDPA'!H19)/1000</f>
        <v>0.97720282414726867</v>
      </c>
      <c r="Q18" s="34"/>
      <c r="R18" s="44"/>
      <c r="S18" s="259">
        <f t="shared" si="2"/>
        <v>2032</v>
      </c>
      <c r="T18" s="220">
        <f t="shared" si="3"/>
        <v>4.83455390369092</v>
      </c>
      <c r="U18" s="221">
        <f t="shared" si="4"/>
        <v>7.2353007253124074E-2</v>
      </c>
      <c r="V18" s="222">
        <f t="shared" si="5"/>
        <v>0.32425366437613917</v>
      </c>
      <c r="W18" s="223">
        <f t="shared" si="6"/>
        <v>5.0143950773511961</v>
      </c>
      <c r="X18" s="219">
        <f t="shared" si="7"/>
        <v>7.2353007253124074E-2</v>
      </c>
      <c r="Y18" s="219">
        <f t="shared" si="8"/>
        <v>0.35667903081375307</v>
      </c>
      <c r="Z18" s="34"/>
    </row>
    <row r="19" spans="1:26" x14ac:dyDescent="0.25">
      <c r="A19" s="48">
        <f>COV!A19</f>
        <v>2033</v>
      </c>
      <c r="B19" s="233">
        <f>CTP!B22+COV!J19</f>
        <v>27.648686234734654</v>
      </c>
      <c r="C19" s="233">
        <f>CTP!C22+COV!K19</f>
        <v>95.322884670798288</v>
      </c>
      <c r="D19" s="234">
        <f>CTP!D22+COV!L19</f>
        <v>42.128284099999995</v>
      </c>
      <c r="E19" s="235">
        <f>CTP!E22+COV!M19</f>
        <v>27.648686234734654</v>
      </c>
      <c r="F19" s="233">
        <f>CTP!F22+COV!N19</f>
        <v>95.322884670798288</v>
      </c>
      <c r="G19" s="236">
        <f>CTP!G22+COV!O19</f>
        <v>42.128284099999995</v>
      </c>
      <c r="H19" s="240"/>
      <c r="I19" s="44"/>
      <c r="J19" s="48">
        <f t="shared" si="1"/>
        <v>2033</v>
      </c>
      <c r="K19" s="42">
        <f>(B19*'PROY TDPA'!C20)/1000</f>
        <v>13.779933149744545</v>
      </c>
      <c r="L19" s="43">
        <f>(C19*'PROY TDPA'!D20)/1000</f>
        <v>0.20791392772289485</v>
      </c>
      <c r="M19" s="40">
        <f>(D19*'PROY TDPA'!E20)/1000</f>
        <v>0.9188829152314012</v>
      </c>
      <c r="N19" s="36">
        <f>(E19*'PROY TDPA'!F20)/1000</f>
        <v>14.292534601704411</v>
      </c>
      <c r="O19" s="38">
        <f>(F19*'PROY TDPA'!G20)/1000</f>
        <v>0.20791392772289485</v>
      </c>
      <c r="P19" s="38">
        <f>(G19*'PROY TDPA'!H20)/1000</f>
        <v>1.0107712067545414</v>
      </c>
      <c r="Q19" s="34"/>
      <c r="R19" s="44"/>
      <c r="S19" s="259">
        <f t="shared" si="2"/>
        <v>2033</v>
      </c>
      <c r="T19" s="220">
        <f t="shared" si="3"/>
        <v>5.029675599656759</v>
      </c>
      <c r="U19" s="221">
        <f t="shared" si="4"/>
        <v>7.5888583618856614E-2</v>
      </c>
      <c r="V19" s="222">
        <f t="shared" si="5"/>
        <v>0.33539226405946143</v>
      </c>
      <c r="W19" s="223">
        <f t="shared" si="6"/>
        <v>5.2167751296221097</v>
      </c>
      <c r="X19" s="219">
        <f t="shared" si="7"/>
        <v>7.5888583618856614E-2</v>
      </c>
      <c r="Y19" s="219">
        <f t="shared" si="8"/>
        <v>0.36893149046540757</v>
      </c>
      <c r="Z19" s="34"/>
    </row>
    <row r="20" spans="1:26" x14ac:dyDescent="0.25">
      <c r="A20" s="192">
        <f>COV!A20</f>
        <v>2034</v>
      </c>
      <c r="B20" s="237">
        <f>CTP!B23+COV!J20</f>
        <v>28.139631791776694</v>
      </c>
      <c r="C20" s="237">
        <f>CTP!C23+COV!K20</f>
        <v>96.863425991922242</v>
      </c>
      <c r="D20" s="238">
        <f>CTP!D23+COV!L20</f>
        <v>42.305517100000003</v>
      </c>
      <c r="E20" s="239">
        <f>CTP!E23+COV!M20</f>
        <v>28.139631791776694</v>
      </c>
      <c r="F20" s="237">
        <f>CTP!F23+COV!N20</f>
        <v>96.863425991922256</v>
      </c>
      <c r="G20" s="241">
        <f>CTP!G23+COV!O20</f>
        <v>42.305517100000003</v>
      </c>
      <c r="H20" s="240"/>
      <c r="I20" s="44"/>
      <c r="J20" s="192">
        <f t="shared" si="1"/>
        <v>2034</v>
      </c>
      <c r="K20" s="193">
        <f>(B20*'PROY TDPA'!C21)/1000</f>
        <v>14.445355880809554</v>
      </c>
      <c r="L20" s="194">
        <f>(C20*'PROY TDPA'!D21)/1000</f>
        <v>0.21761230876336918</v>
      </c>
      <c r="M20" s="195">
        <f>(D20*'PROY TDPA'!E21)/1000</f>
        <v>0.9504310997968346</v>
      </c>
      <c r="N20" s="196">
        <f>(E20*'PROY TDPA'!F21)/1000</f>
        <v>14.98271047593814</v>
      </c>
      <c r="O20" s="197">
        <f>(F20*'PROY TDPA'!G21)/1000</f>
        <v>0.21761230876336921</v>
      </c>
      <c r="P20" s="197">
        <f>(G20*'PROY TDPA'!H21)/1000</f>
        <v>1.0454742097765179</v>
      </c>
      <c r="Q20" s="34"/>
      <c r="R20" s="44"/>
      <c r="S20" s="260">
        <f t="shared" si="2"/>
        <v>2034</v>
      </c>
      <c r="T20" s="224">
        <f t="shared" si="3"/>
        <v>5.2725548964954871</v>
      </c>
      <c r="U20" s="225">
        <f t="shared" si="4"/>
        <v>7.9428492698629755E-2</v>
      </c>
      <c r="V20" s="226">
        <f t="shared" si="5"/>
        <v>0.34690735142584461</v>
      </c>
      <c r="W20" s="227">
        <f t="shared" si="6"/>
        <v>5.4686893237174212</v>
      </c>
      <c r="X20" s="228">
        <f t="shared" si="7"/>
        <v>7.9428492698629755E-2</v>
      </c>
      <c r="Y20" s="228">
        <f t="shared" si="8"/>
        <v>0.38159808656842903</v>
      </c>
      <c r="Z20" s="34"/>
    </row>
    <row r="21" spans="1:26" x14ac:dyDescent="0.25">
      <c r="A21" s="33"/>
      <c r="B21" s="33"/>
      <c r="C21" s="33"/>
      <c r="D21" s="33"/>
      <c r="E21" s="33"/>
      <c r="F21" s="33"/>
      <c r="G21" s="33"/>
      <c r="H21" s="33"/>
      <c r="I21" s="44"/>
      <c r="J21" s="48"/>
      <c r="K21" s="33"/>
      <c r="L21" s="33"/>
      <c r="M21" s="33"/>
      <c r="N21" s="33"/>
      <c r="O21" s="33"/>
      <c r="P21" s="33"/>
      <c r="Q21" s="33"/>
      <c r="R21" s="44"/>
      <c r="S21" s="48"/>
      <c r="T21" s="33"/>
      <c r="U21" s="33"/>
      <c r="V21" s="33"/>
      <c r="W21" s="33"/>
      <c r="X21" s="33"/>
      <c r="Y21" s="33"/>
      <c r="Z21" s="33"/>
    </row>
  </sheetData>
  <mergeCells count="15">
    <mergeCell ref="A3:A4"/>
    <mergeCell ref="J3:J4"/>
    <mergeCell ref="S3:S4"/>
    <mergeCell ref="W3:Y3"/>
    <mergeCell ref="B3:D3"/>
    <mergeCell ref="E3:G3"/>
    <mergeCell ref="K3:M3"/>
    <mergeCell ref="N3:P3"/>
    <mergeCell ref="T3:V3"/>
    <mergeCell ref="A1:H1"/>
    <mergeCell ref="J1:Q1"/>
    <mergeCell ref="S1:Z1"/>
    <mergeCell ref="A2:G2"/>
    <mergeCell ref="J2:P2"/>
    <mergeCell ref="S2:Y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19"/>
  <sheetViews>
    <sheetView zoomScale="80" zoomScaleNormal="80" workbookViewId="0">
      <selection activeCell="I39" sqref="I39"/>
    </sheetView>
  </sheetViews>
  <sheetFormatPr baseColWidth="10" defaultRowHeight="15" x14ac:dyDescent="0.25"/>
  <cols>
    <col min="1" max="1" width="3.140625" bestFit="1" customWidth="1"/>
    <col min="2" max="2" width="7.5703125" customWidth="1"/>
    <col min="5" max="5" width="18" bestFit="1" customWidth="1"/>
    <col min="7" max="7" width="34.42578125" customWidth="1"/>
    <col min="9" max="9" width="22.28515625" customWidth="1"/>
    <col min="10" max="10" width="6.7109375" bestFit="1" customWidth="1"/>
    <col min="12" max="12" width="7.5703125" bestFit="1" customWidth="1"/>
  </cols>
  <sheetData>
    <row r="1" spans="1:17" ht="15.75" x14ac:dyDescent="0.25">
      <c r="A1" s="76"/>
      <c r="B1" s="356" t="s">
        <v>77</v>
      </c>
      <c r="C1" s="356"/>
      <c r="D1" s="356"/>
      <c r="E1" s="356"/>
      <c r="F1" s="76"/>
      <c r="G1" s="356" t="s">
        <v>26</v>
      </c>
      <c r="H1" s="356"/>
      <c r="I1" s="356"/>
      <c r="J1" s="76"/>
      <c r="K1" s="76"/>
      <c r="L1" s="83"/>
      <c r="M1" s="356" t="s">
        <v>27</v>
      </c>
      <c r="N1" s="356"/>
      <c r="O1" s="356"/>
      <c r="P1" s="356"/>
      <c r="Q1" s="76"/>
    </row>
    <row r="2" spans="1:17" ht="18.75" x14ac:dyDescent="0.25">
      <c r="A2" s="357" t="s">
        <v>28</v>
      </c>
      <c r="B2" s="357"/>
      <c r="C2" s="358" t="s">
        <v>29</v>
      </c>
      <c r="D2" s="358"/>
      <c r="E2" s="358"/>
      <c r="F2" s="76"/>
      <c r="G2" s="76"/>
      <c r="H2" s="76"/>
      <c r="I2" s="76"/>
      <c r="J2" s="76"/>
      <c r="K2" s="76"/>
      <c r="L2" s="83">
        <v>1.77233</v>
      </c>
      <c r="M2" s="357" t="s">
        <v>28</v>
      </c>
      <c r="N2" s="358" t="s">
        <v>29</v>
      </c>
      <c r="O2" s="358"/>
      <c r="P2" s="358"/>
      <c r="Q2" s="76"/>
    </row>
    <row r="3" spans="1:17" ht="15.75" thickBot="1" x14ac:dyDescent="0.3">
      <c r="A3" s="357"/>
      <c r="B3" s="357"/>
      <c r="C3" s="160" t="s">
        <v>30</v>
      </c>
      <c r="D3" s="161" t="s">
        <v>31</v>
      </c>
      <c r="E3" s="160" t="s">
        <v>32</v>
      </c>
      <c r="F3" s="76"/>
      <c r="G3" s="177" t="s">
        <v>33</v>
      </c>
      <c r="H3" s="177" t="s">
        <v>34</v>
      </c>
      <c r="I3" s="177" t="s">
        <v>35</v>
      </c>
      <c r="J3" s="76"/>
      <c r="K3" s="76"/>
      <c r="L3" s="76"/>
      <c r="M3" s="357"/>
      <c r="N3" s="173" t="s">
        <v>30</v>
      </c>
      <c r="O3" s="174" t="s">
        <v>31</v>
      </c>
      <c r="P3" s="173" t="s">
        <v>32</v>
      </c>
      <c r="Q3" s="76"/>
    </row>
    <row r="4" spans="1:17" ht="15.75" thickTop="1" x14ac:dyDescent="0.25">
      <c r="A4" s="83">
        <v>0</v>
      </c>
      <c r="B4" s="84">
        <f>CGV!A5</f>
        <v>2019</v>
      </c>
      <c r="C4" s="85">
        <f>N4</f>
        <v>0</v>
      </c>
      <c r="D4" s="86"/>
      <c r="E4" s="85"/>
      <c r="F4" s="76"/>
      <c r="G4" s="77" t="s">
        <v>36</v>
      </c>
      <c r="H4" s="78">
        <f>C5/1000000</f>
        <v>0.38708342202529999</v>
      </c>
      <c r="I4" s="79" t="s">
        <v>37</v>
      </c>
      <c r="J4" s="76"/>
      <c r="K4" s="76"/>
      <c r="L4" s="83"/>
      <c r="M4" s="84">
        <f>B4</f>
        <v>2019</v>
      </c>
      <c r="N4" s="85"/>
      <c r="O4" s="86"/>
      <c r="P4" s="85"/>
      <c r="Q4" s="76"/>
    </row>
    <row r="5" spans="1:17" x14ac:dyDescent="0.25">
      <c r="A5" s="83">
        <v>1</v>
      </c>
      <c r="B5" s="84">
        <f>CGV!A6</f>
        <v>2020</v>
      </c>
      <c r="C5" s="85">
        <f t="shared" ref="C5:C10" si="0">N5</f>
        <v>387083.42202529998</v>
      </c>
      <c r="D5" s="86"/>
      <c r="E5" s="85"/>
      <c r="F5" s="76"/>
      <c r="G5" s="175" t="s">
        <v>83</v>
      </c>
      <c r="H5" s="80">
        <f>D9/1000000</f>
        <v>1.6329519245439397</v>
      </c>
      <c r="I5" s="138" t="s">
        <v>76</v>
      </c>
      <c r="J5" s="76"/>
      <c r="K5" s="76"/>
      <c r="L5" s="83"/>
      <c r="M5" s="84">
        <f t="shared" ref="M5:M19" si="1">B5</f>
        <v>2020</v>
      </c>
      <c r="N5" s="85">
        <f>($H$10*$H$14)*$L$2</f>
        <v>387083.42202529998</v>
      </c>
      <c r="O5" s="86"/>
      <c r="P5" s="85"/>
      <c r="Q5" s="76"/>
    </row>
    <row r="6" spans="1:17" ht="15.75" thickBot="1" x14ac:dyDescent="0.3">
      <c r="A6" s="83">
        <v>2</v>
      </c>
      <c r="B6" s="84">
        <f>CGV!A7</f>
        <v>2021</v>
      </c>
      <c r="C6" s="85">
        <f t="shared" si="0"/>
        <v>387083.42202529998</v>
      </c>
      <c r="D6" s="101"/>
      <c r="E6" s="76"/>
      <c r="F6" s="76"/>
      <c r="G6" s="176" t="s">
        <v>84</v>
      </c>
      <c r="H6" s="81">
        <f>E14/1000000</f>
        <v>18.969229671304472</v>
      </c>
      <c r="I6" s="82">
        <v>2029</v>
      </c>
      <c r="J6" s="76"/>
      <c r="K6" s="87"/>
      <c r="L6" s="87"/>
      <c r="M6" s="84">
        <f t="shared" si="1"/>
        <v>2021</v>
      </c>
      <c r="N6" s="85">
        <f>($H$10*$H$14)*$L$2</f>
        <v>387083.42202529998</v>
      </c>
      <c r="O6" s="101"/>
      <c r="P6" s="76"/>
      <c r="Q6" s="76"/>
    </row>
    <row r="7" spans="1:17" x14ac:dyDescent="0.25">
      <c r="A7" s="83">
        <v>3</v>
      </c>
      <c r="B7" s="84">
        <f>CGV!A8</f>
        <v>2022</v>
      </c>
      <c r="C7" s="85">
        <f t="shared" si="0"/>
        <v>387083.42202529998</v>
      </c>
      <c r="D7" s="86"/>
      <c r="E7" s="85"/>
      <c r="F7" s="76"/>
      <c r="G7" s="355" t="s">
        <v>38</v>
      </c>
      <c r="H7" s="355"/>
      <c r="I7" s="355"/>
      <c r="J7" s="76"/>
      <c r="K7" s="87"/>
      <c r="L7" s="87"/>
      <c r="M7" s="84">
        <f t="shared" si="1"/>
        <v>2022</v>
      </c>
      <c r="N7" s="85">
        <f>($H$10*$H$14)*$L$2</f>
        <v>387083.42202529998</v>
      </c>
      <c r="O7" s="86"/>
      <c r="P7" s="85"/>
      <c r="Q7" s="76"/>
    </row>
    <row r="8" spans="1:17" x14ac:dyDescent="0.25">
      <c r="A8" s="83">
        <v>4</v>
      </c>
      <c r="B8" s="84">
        <f>CGV!A9</f>
        <v>2023</v>
      </c>
      <c r="C8" s="85">
        <f t="shared" si="0"/>
        <v>387083.42202529998</v>
      </c>
      <c r="D8" s="86"/>
      <c r="E8" s="85"/>
      <c r="F8" s="76"/>
      <c r="J8" s="76"/>
      <c r="K8" s="87"/>
      <c r="L8" s="87"/>
      <c r="M8" s="84">
        <f t="shared" si="1"/>
        <v>2023</v>
      </c>
      <c r="N8" s="85">
        <f>($H$10*$H$14)*$L$2</f>
        <v>387083.42202529998</v>
      </c>
      <c r="O8" s="86"/>
      <c r="P8" s="85"/>
      <c r="Q8" s="76"/>
    </row>
    <row r="9" spans="1:17" x14ac:dyDescent="0.25">
      <c r="A9" s="83">
        <v>5</v>
      </c>
      <c r="B9" s="84">
        <f>CGV!A10</f>
        <v>2024</v>
      </c>
      <c r="C9" s="85"/>
      <c r="D9" s="86">
        <f>O9</f>
        <v>1632951.9245439398</v>
      </c>
      <c r="E9" s="85"/>
      <c r="F9" s="76"/>
      <c r="G9" s="76"/>
      <c r="H9" s="76"/>
      <c r="I9" s="76"/>
      <c r="J9" s="76"/>
      <c r="K9" s="139"/>
      <c r="L9" s="87"/>
      <c r="M9" s="84">
        <f t="shared" si="1"/>
        <v>2024</v>
      </c>
      <c r="N9" s="85"/>
      <c r="O9" s="86">
        <f>($H$11*$H$14)*$L$2</f>
        <v>1632951.9245439398</v>
      </c>
      <c r="P9" s="85"/>
      <c r="Q9" s="76"/>
    </row>
    <row r="10" spans="1:17" x14ac:dyDescent="0.25">
      <c r="A10" s="83">
        <v>6</v>
      </c>
      <c r="B10" s="84">
        <f>CGV!A11</f>
        <v>2025</v>
      </c>
      <c r="C10" s="85">
        <f t="shared" si="0"/>
        <v>387083.42202529998</v>
      </c>
      <c r="D10" s="86"/>
      <c r="E10" s="85"/>
      <c r="F10" s="76"/>
      <c r="G10" s="98" t="s">
        <v>39</v>
      </c>
      <c r="H10" s="288">
        <f>25565.65*1.3</f>
        <v>33235.345000000001</v>
      </c>
      <c r="I10" s="88" t="s">
        <v>40</v>
      </c>
      <c r="J10" s="89"/>
      <c r="K10" s="139"/>
      <c r="L10" s="87"/>
      <c r="M10" s="84">
        <f t="shared" si="1"/>
        <v>2025</v>
      </c>
      <c r="N10" s="85">
        <f>($H$10*$H$14)*$L$2</f>
        <v>387083.42202529998</v>
      </c>
      <c r="O10" s="86"/>
      <c r="P10" s="85"/>
      <c r="Q10" s="76"/>
    </row>
    <row r="11" spans="1:17" x14ac:dyDescent="0.25">
      <c r="A11" s="83">
        <v>7</v>
      </c>
      <c r="B11" s="84">
        <f>CGV!A12</f>
        <v>2026</v>
      </c>
      <c r="C11" s="85">
        <v>3548000.9069999997</v>
      </c>
      <c r="D11" s="86"/>
      <c r="E11" s="85"/>
      <c r="F11" s="76"/>
      <c r="G11" s="99" t="s">
        <v>41</v>
      </c>
      <c r="H11" s="289">
        <f>107851.37*1.3</f>
        <v>140206.78099999999</v>
      </c>
      <c r="I11" s="92" t="s">
        <v>40</v>
      </c>
      <c r="J11" s="93"/>
      <c r="K11" s="140"/>
      <c r="L11" s="92"/>
      <c r="M11" s="84">
        <f t="shared" si="1"/>
        <v>2026</v>
      </c>
      <c r="N11" s="85">
        <f>($H$10*$H$14)*$L$2</f>
        <v>387083.42202529998</v>
      </c>
      <c r="O11" s="86"/>
      <c r="P11" s="85"/>
      <c r="Q11" s="76"/>
    </row>
    <row r="12" spans="1:17" x14ac:dyDescent="0.25">
      <c r="A12" s="83">
        <v>8</v>
      </c>
      <c r="B12" s="84">
        <f>CGV!A13</f>
        <v>2027</v>
      </c>
      <c r="C12" s="85">
        <v>3548000.9069999997</v>
      </c>
      <c r="D12" s="86"/>
      <c r="E12" s="85"/>
      <c r="F12" s="76"/>
      <c r="G12" s="100" t="s">
        <v>42</v>
      </c>
      <c r="H12" s="290">
        <f>1252858.32188*1.3</f>
        <v>1628715.8184440001</v>
      </c>
      <c r="I12" s="291" t="s">
        <v>40</v>
      </c>
      <c r="J12" s="94"/>
      <c r="K12" s="139"/>
      <c r="L12" s="92"/>
      <c r="M12" s="84">
        <f t="shared" si="1"/>
        <v>2027</v>
      </c>
      <c r="N12" s="85">
        <f>($H$10*$H$14)*$L$2</f>
        <v>387083.42202529998</v>
      </c>
      <c r="O12" s="86"/>
      <c r="P12" s="85"/>
      <c r="Q12" s="76"/>
    </row>
    <row r="13" spans="1:17" x14ac:dyDescent="0.25">
      <c r="A13" s="83">
        <v>9</v>
      </c>
      <c r="B13" s="84">
        <f>CGV!A14</f>
        <v>2028</v>
      </c>
      <c r="C13" s="85">
        <v>3548000.9069999997</v>
      </c>
      <c r="D13" s="86"/>
      <c r="E13" s="85"/>
      <c r="F13" s="76"/>
      <c r="G13" s="97"/>
      <c r="H13" s="97"/>
      <c r="I13" s="97"/>
      <c r="J13" s="97"/>
      <c r="K13" s="139"/>
      <c r="L13" s="92"/>
      <c r="M13" s="84">
        <f t="shared" si="1"/>
        <v>2028</v>
      </c>
      <c r="N13" s="85">
        <f>($H$10*$H$14)*$L$2</f>
        <v>387083.42202529998</v>
      </c>
      <c r="O13" s="86"/>
      <c r="Q13" s="76"/>
    </row>
    <row r="14" spans="1:17" x14ac:dyDescent="0.25">
      <c r="A14" s="83">
        <v>10</v>
      </c>
      <c r="B14" s="84">
        <f>CGV!A15</f>
        <v>2029</v>
      </c>
      <c r="C14" s="85"/>
      <c r="D14" s="86"/>
      <c r="E14" s="85">
        <f>P14</f>
        <v>18969229.671304472</v>
      </c>
      <c r="F14" s="76"/>
      <c r="G14" s="74" t="s">
        <v>43</v>
      </c>
      <c r="H14" s="292">
        <f>I14/3.5</f>
        <v>6.5714285714285712</v>
      </c>
      <c r="I14" s="292">
        <v>23</v>
      </c>
      <c r="J14" s="75" t="s">
        <v>44</v>
      </c>
      <c r="K14" s="139"/>
      <c r="L14" s="92"/>
      <c r="M14" s="84">
        <f t="shared" si="1"/>
        <v>2029</v>
      </c>
      <c r="N14" s="85"/>
      <c r="O14" s="86"/>
      <c r="P14" s="85">
        <f>($H$12*$H$14)*$L$2</f>
        <v>18969229.671304472</v>
      </c>
      <c r="Q14" s="76"/>
    </row>
    <row r="15" spans="1:17" x14ac:dyDescent="0.25">
      <c r="A15" s="83">
        <v>11</v>
      </c>
      <c r="B15" s="84">
        <f>CGV!A16</f>
        <v>2030</v>
      </c>
      <c r="C15" s="85">
        <v>3548000.9069999997</v>
      </c>
      <c r="D15" s="86"/>
      <c r="E15" s="85"/>
      <c r="F15" s="76"/>
      <c r="G15" s="76"/>
      <c r="H15" s="76"/>
      <c r="I15" s="90"/>
      <c r="J15" s="95"/>
      <c r="K15" s="139"/>
      <c r="L15" s="96"/>
      <c r="M15" s="84">
        <f t="shared" si="1"/>
        <v>2030</v>
      </c>
      <c r="N15" s="85">
        <f>($H$10*$H$14)*$L$2</f>
        <v>387083.42202529998</v>
      </c>
      <c r="O15" s="86"/>
      <c r="P15" s="85"/>
      <c r="Q15" s="76"/>
    </row>
    <row r="16" spans="1:17" x14ac:dyDescent="0.25">
      <c r="A16" s="83">
        <v>12</v>
      </c>
      <c r="B16" s="84">
        <f>CGV!A17</f>
        <v>2031</v>
      </c>
      <c r="C16" s="85">
        <v>3548000.9069999997</v>
      </c>
      <c r="D16" s="86"/>
      <c r="E16" s="85"/>
      <c r="F16" s="76"/>
      <c r="K16" s="139"/>
      <c r="L16" s="87"/>
      <c r="M16" s="84">
        <f t="shared" si="1"/>
        <v>2031</v>
      </c>
      <c r="N16" s="85">
        <f>($H$10*$H$14)*$L$2</f>
        <v>387083.42202529998</v>
      </c>
      <c r="O16" s="86"/>
      <c r="P16" s="85"/>
      <c r="Q16" s="76"/>
    </row>
    <row r="17" spans="1:17" x14ac:dyDescent="0.25">
      <c r="A17" s="83">
        <v>13</v>
      </c>
      <c r="B17" s="84">
        <f>CGV!A18</f>
        <v>2032</v>
      </c>
      <c r="C17" s="85">
        <v>3548000.9069999997</v>
      </c>
      <c r="D17" s="86"/>
      <c r="E17" s="85"/>
      <c r="F17" s="76"/>
      <c r="G17" s="90"/>
      <c r="H17" s="91"/>
      <c r="I17" s="92"/>
      <c r="K17" s="76"/>
      <c r="L17" s="76"/>
      <c r="M17" s="84">
        <f t="shared" si="1"/>
        <v>2032</v>
      </c>
      <c r="N17" s="85">
        <f>($H$10*$H$14)*$L$2</f>
        <v>387083.42202529998</v>
      </c>
      <c r="O17" s="86"/>
      <c r="P17" s="85"/>
      <c r="Q17" s="76"/>
    </row>
    <row r="18" spans="1:17" x14ac:dyDescent="0.25">
      <c r="A18" s="83">
        <v>14</v>
      </c>
      <c r="B18" s="84">
        <f>CGV!A19</f>
        <v>2033</v>
      </c>
      <c r="C18" s="85">
        <v>3548000.9069999997</v>
      </c>
      <c r="D18" s="86"/>
      <c r="E18" s="85"/>
      <c r="F18" s="76"/>
      <c r="K18" s="76"/>
      <c r="L18" s="76"/>
      <c r="M18" s="84">
        <f t="shared" si="1"/>
        <v>2033</v>
      </c>
      <c r="N18" s="85">
        <f>($H$10*$H$14)*$L$2</f>
        <v>387083.42202529998</v>
      </c>
      <c r="O18" s="86"/>
      <c r="P18" s="85"/>
      <c r="Q18" s="76"/>
    </row>
    <row r="19" spans="1:17" x14ac:dyDescent="0.25">
      <c r="A19" s="83">
        <v>15</v>
      </c>
      <c r="B19" s="84">
        <f>CGV!A20</f>
        <v>2034</v>
      </c>
      <c r="C19" s="85"/>
      <c r="D19" s="86">
        <f>O19</f>
        <v>1632951.9245439398</v>
      </c>
      <c r="E19" s="85"/>
      <c r="F19" s="76"/>
      <c r="K19" s="76"/>
      <c r="L19" s="76"/>
      <c r="M19" s="84">
        <f t="shared" si="1"/>
        <v>2034</v>
      </c>
      <c r="N19" s="85"/>
      <c r="O19" s="86">
        <f>($H$11*$H$14)*$L$2</f>
        <v>1632951.9245439398</v>
      </c>
      <c r="P19" s="85"/>
      <c r="Q19" s="76"/>
    </row>
  </sheetData>
  <mergeCells count="8">
    <mergeCell ref="G7:I7"/>
    <mergeCell ref="M1:P1"/>
    <mergeCell ref="M2:M3"/>
    <mergeCell ref="N2:P2"/>
    <mergeCell ref="B1:E1"/>
    <mergeCell ref="G1:I1"/>
    <mergeCell ref="C2:E2"/>
    <mergeCell ref="A2:B3"/>
  </mergeCells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K25"/>
  <sheetViews>
    <sheetView tabSelected="1" view="pageBreakPreview" topLeftCell="A13" zoomScale="130" zoomScaleNormal="80" zoomScaleSheetLayoutView="130" workbookViewId="0">
      <selection activeCell="J7" sqref="J7"/>
    </sheetView>
  </sheetViews>
  <sheetFormatPr baseColWidth="10" defaultRowHeight="15" x14ac:dyDescent="0.25"/>
  <cols>
    <col min="1" max="1" width="2" customWidth="1"/>
    <col min="2" max="2" width="13" customWidth="1"/>
    <col min="3" max="3" width="45.42578125" customWidth="1"/>
    <col min="4" max="4" width="8.5703125" bestFit="1" customWidth="1"/>
    <col min="5" max="5" width="13.5703125" customWidth="1"/>
    <col min="6" max="6" width="10.7109375" customWidth="1"/>
    <col min="7" max="7" width="18.5703125" bestFit="1" customWidth="1"/>
    <col min="8" max="8" width="3.85546875" customWidth="1"/>
    <col min="10" max="10" width="37.7109375" customWidth="1"/>
    <col min="11" max="11" width="20.7109375" bestFit="1" customWidth="1"/>
    <col min="12" max="12" width="15" bestFit="1" customWidth="1"/>
    <col min="13" max="13" width="14.5703125" bestFit="1" customWidth="1"/>
    <col min="14" max="14" width="15" bestFit="1" customWidth="1"/>
  </cols>
  <sheetData>
    <row r="2" spans="2:11" ht="15.75" x14ac:dyDescent="0.25">
      <c r="B2" s="362" t="s">
        <v>45</v>
      </c>
      <c r="C2" s="363"/>
      <c r="D2" s="363"/>
      <c r="E2" s="363"/>
      <c r="F2" s="363"/>
      <c r="G2" s="363"/>
      <c r="I2" s="361" t="s">
        <v>58</v>
      </c>
      <c r="J2" s="361"/>
      <c r="K2" s="361"/>
    </row>
    <row r="3" spans="2:11" ht="26.25" thickBot="1" x14ac:dyDescent="0.3">
      <c r="B3" s="162" t="s">
        <v>46</v>
      </c>
      <c r="C3" s="162" t="s">
        <v>47</v>
      </c>
      <c r="D3" s="162" t="s">
        <v>48</v>
      </c>
      <c r="E3" s="162" t="s">
        <v>49</v>
      </c>
      <c r="F3" s="162" t="s">
        <v>50</v>
      </c>
      <c r="G3" s="162" t="s">
        <v>51</v>
      </c>
      <c r="I3" s="163" t="s">
        <v>59</v>
      </c>
      <c r="J3" s="163" t="s">
        <v>60</v>
      </c>
      <c r="K3" s="163" t="s">
        <v>34</v>
      </c>
    </row>
    <row r="4" spans="2:11" ht="16.5" thickTop="1" thickBot="1" x14ac:dyDescent="0.3">
      <c r="B4" s="364" t="s">
        <v>80</v>
      </c>
      <c r="C4" s="364"/>
      <c r="D4" s="364"/>
      <c r="E4" s="364"/>
      <c r="F4" s="364"/>
      <c r="G4" s="364"/>
      <c r="I4" s="122">
        <v>2019</v>
      </c>
      <c r="J4" s="123" t="s">
        <v>96</v>
      </c>
      <c r="K4" s="171">
        <f>G12</f>
        <v>92039103.049999997</v>
      </c>
    </row>
    <row r="5" spans="2:11" ht="30" customHeight="1" x14ac:dyDescent="0.25">
      <c r="B5" s="106" t="s">
        <v>52</v>
      </c>
      <c r="C5" s="106" t="s">
        <v>53</v>
      </c>
      <c r="D5" s="107" t="s">
        <v>54</v>
      </c>
      <c r="E5" s="108">
        <f t="shared" ref="E5:E10" si="0">G5/F5</f>
        <v>860.17387041779784</v>
      </c>
      <c r="F5" s="109">
        <f>1772.33*33</f>
        <v>58486.89</v>
      </c>
      <c r="G5" s="114">
        <f>38198585.6+11105658.44+1004650.5</f>
        <v>50308894.539999999</v>
      </c>
      <c r="K5" s="172">
        <f>SUM(K4:K4)</f>
        <v>92039103.049999997</v>
      </c>
    </row>
    <row r="6" spans="2:11" ht="30" customHeight="1" x14ac:dyDescent="0.25">
      <c r="B6" s="111" t="s">
        <v>55</v>
      </c>
      <c r="C6" s="111" t="s">
        <v>69</v>
      </c>
      <c r="D6" s="112" t="s">
        <v>54</v>
      </c>
      <c r="E6" s="108">
        <f t="shared" si="0"/>
        <v>6313.9114583333321</v>
      </c>
      <c r="F6" s="113">
        <v>345.6</v>
      </c>
      <c r="G6" s="114">
        <v>2182087.7999999998</v>
      </c>
    </row>
    <row r="7" spans="2:11" ht="30" customHeight="1" x14ac:dyDescent="0.25">
      <c r="B7" s="111" t="s">
        <v>56</v>
      </c>
      <c r="C7" s="111" t="s">
        <v>68</v>
      </c>
      <c r="D7" s="112" t="s">
        <v>54</v>
      </c>
      <c r="E7" s="108">
        <f t="shared" si="0"/>
        <v>673.61853948585008</v>
      </c>
      <c r="F7" s="115">
        <v>40763.589999999997</v>
      </c>
      <c r="G7" s="114">
        <v>27459109.960000001</v>
      </c>
    </row>
    <row r="8" spans="2:11" ht="44.25" customHeight="1" x14ac:dyDescent="0.25">
      <c r="B8" s="111" t="s">
        <v>66</v>
      </c>
      <c r="C8" s="111" t="s">
        <v>70</v>
      </c>
      <c r="D8" s="112" t="s">
        <v>67</v>
      </c>
      <c r="E8" s="108">
        <f t="shared" si="0"/>
        <v>865.23760247809389</v>
      </c>
      <c r="F8" s="115">
        <v>7089.32</v>
      </c>
      <c r="G8" s="114">
        <v>6133946.2400000002</v>
      </c>
      <c r="I8" s="361"/>
      <c r="J8" s="361"/>
      <c r="K8" s="361"/>
    </row>
    <row r="9" spans="2:11" ht="66" customHeight="1" x14ac:dyDescent="0.25">
      <c r="B9" s="111" t="s">
        <v>79</v>
      </c>
      <c r="C9" s="111" t="s">
        <v>71</v>
      </c>
      <c r="D9" s="112" t="s">
        <v>72</v>
      </c>
      <c r="E9" s="108">
        <f t="shared" si="0"/>
        <v>198254.79250000001</v>
      </c>
      <c r="F9" s="115">
        <v>8</v>
      </c>
      <c r="G9" s="137">
        <v>1586038.34</v>
      </c>
    </row>
    <row r="10" spans="2:11" ht="66" customHeight="1" x14ac:dyDescent="0.25">
      <c r="B10" s="111" t="s">
        <v>73</v>
      </c>
      <c r="C10" s="111" t="s">
        <v>74</v>
      </c>
      <c r="D10" s="112" t="s">
        <v>72</v>
      </c>
      <c r="E10" s="108">
        <f t="shared" si="0"/>
        <v>82389.585999999996</v>
      </c>
      <c r="F10" s="115">
        <v>45</v>
      </c>
      <c r="G10" s="137">
        <v>3707531.37</v>
      </c>
    </row>
    <row r="11" spans="2:11" ht="30" customHeight="1" thickBot="1" x14ac:dyDescent="0.3">
      <c r="B11" s="111" t="s">
        <v>57</v>
      </c>
      <c r="C11" s="111" t="s">
        <v>75</v>
      </c>
      <c r="D11" s="112" t="s">
        <v>72</v>
      </c>
      <c r="E11" s="114">
        <v>161494.12</v>
      </c>
      <c r="F11" s="113">
        <v>45</v>
      </c>
      <c r="G11" s="114">
        <v>661494.80000000005</v>
      </c>
    </row>
    <row r="12" spans="2:11" ht="15" customHeight="1" x14ac:dyDescent="0.25">
      <c r="B12" s="360" t="s">
        <v>81</v>
      </c>
      <c r="C12" s="360"/>
      <c r="D12" s="360"/>
      <c r="E12" s="360"/>
      <c r="F12" s="360"/>
      <c r="G12" s="170">
        <f>SUM(G5:G11)</f>
        <v>92039103.049999997</v>
      </c>
    </row>
    <row r="13" spans="2:11" ht="3" customHeight="1" thickBot="1" x14ac:dyDescent="0.3">
      <c r="B13" s="117"/>
      <c r="C13" s="117"/>
      <c r="D13" s="117"/>
      <c r="E13" s="117"/>
      <c r="F13" s="117"/>
      <c r="G13" s="117"/>
    </row>
    <row r="14" spans="2:11" ht="16.5" thickTop="1" thickBot="1" x14ac:dyDescent="0.3">
      <c r="B14" s="365" t="s">
        <v>86</v>
      </c>
      <c r="C14" s="365"/>
      <c r="D14" s="365"/>
      <c r="E14" s="365"/>
      <c r="F14" s="365"/>
      <c r="G14" s="365"/>
    </row>
    <row r="15" spans="2:11" ht="9" customHeight="1" thickTop="1" x14ac:dyDescent="0.25">
      <c r="B15" s="106"/>
      <c r="C15" s="106"/>
      <c r="D15" s="107"/>
      <c r="E15" s="108"/>
      <c r="F15" s="109"/>
      <c r="G15" s="110"/>
    </row>
    <row r="16" spans="2:11" ht="22.5" customHeight="1" thickBot="1" x14ac:dyDescent="0.3">
      <c r="B16" s="118" t="s">
        <v>95</v>
      </c>
      <c r="C16" s="118" t="s">
        <v>78</v>
      </c>
      <c r="D16" s="119" t="s">
        <v>54</v>
      </c>
      <c r="E16" s="120">
        <v>79</v>
      </c>
      <c r="F16" s="121">
        <f>40*1772.33</f>
        <v>70893.2</v>
      </c>
      <c r="G16" s="120">
        <f>E16*F16</f>
        <v>5600562.7999999998</v>
      </c>
    </row>
    <row r="17" spans="2:11" ht="30" customHeight="1" thickBot="1" x14ac:dyDescent="0.3">
      <c r="B17" s="118" t="s">
        <v>82</v>
      </c>
      <c r="C17" s="118" t="s">
        <v>78</v>
      </c>
      <c r="D17" s="119" t="s">
        <v>54</v>
      </c>
      <c r="E17" s="120">
        <v>79</v>
      </c>
      <c r="F17" s="121">
        <f>33*1772.33</f>
        <v>58486.89</v>
      </c>
      <c r="G17" s="120">
        <f>E17*F17</f>
        <v>4620464.3099999996</v>
      </c>
    </row>
    <row r="18" spans="2:11" x14ac:dyDescent="0.25">
      <c r="B18" s="366" t="s">
        <v>93</v>
      </c>
      <c r="C18" s="366"/>
      <c r="D18" s="366"/>
      <c r="E18" s="366"/>
      <c r="F18" s="366"/>
      <c r="G18" s="116">
        <f>SUM(G15:G17)</f>
        <v>10221027.109999999</v>
      </c>
    </row>
    <row r="19" spans="2:11" ht="3" customHeight="1" thickBot="1" x14ac:dyDescent="0.3">
      <c r="B19" s="117"/>
      <c r="C19" s="117"/>
      <c r="D19" s="117"/>
      <c r="E19" s="117"/>
      <c r="F19" s="117"/>
      <c r="G19" s="117"/>
    </row>
    <row r="20" spans="2:11" ht="16.5" thickTop="1" thickBot="1" x14ac:dyDescent="0.3">
      <c r="B20" s="359"/>
      <c r="C20" s="359"/>
      <c r="D20" s="359"/>
      <c r="E20" s="359"/>
      <c r="F20" s="359"/>
      <c r="G20" s="143"/>
    </row>
    <row r="21" spans="2:11" ht="15.75" thickTop="1" x14ac:dyDescent="0.25"/>
    <row r="23" spans="2:11" x14ac:dyDescent="0.25">
      <c r="I23" s="117"/>
      <c r="J23" s="117"/>
      <c r="K23" s="117"/>
    </row>
    <row r="24" spans="2:11" x14ac:dyDescent="0.25">
      <c r="I24" s="117"/>
      <c r="J24" s="117"/>
      <c r="K24" s="117"/>
    </row>
    <row r="25" spans="2:11" x14ac:dyDescent="0.25">
      <c r="I25" s="117"/>
      <c r="J25" s="136"/>
      <c r="K25" s="117"/>
    </row>
  </sheetData>
  <mergeCells count="8">
    <mergeCell ref="B20:F20"/>
    <mergeCell ref="B12:F12"/>
    <mergeCell ref="I2:K2"/>
    <mergeCell ref="I8:K8"/>
    <mergeCell ref="B2:G2"/>
    <mergeCell ref="B4:G4"/>
    <mergeCell ref="B14:G14"/>
    <mergeCell ref="B18:F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PROY TDPA</vt:lpstr>
      <vt:lpstr>Velocidad</vt:lpstr>
      <vt:lpstr>Tiempo</vt:lpstr>
      <vt:lpstr>CTP</vt:lpstr>
      <vt:lpstr>COV</vt:lpstr>
      <vt:lpstr>CGV</vt:lpstr>
      <vt:lpstr>COM</vt:lpstr>
      <vt:lpstr>INVERSION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Santiago</dc:creator>
  <cp:lastModifiedBy>UNIPPIP</cp:lastModifiedBy>
  <cp:lastPrinted>2019-02-20T20:15:36Z</cp:lastPrinted>
  <dcterms:created xsi:type="dcterms:W3CDTF">2015-05-16T15:02:49Z</dcterms:created>
  <dcterms:modified xsi:type="dcterms:W3CDTF">2019-03-12T18:55:51Z</dcterms:modified>
</cp:coreProperties>
</file>