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PPIP\Desktop\amc crecer en grande\"/>
    </mc:Choice>
  </mc:AlternateContent>
  <bookViews>
    <workbookView xWindow="240" yWindow="210" windowWidth="19440" windowHeight="8130"/>
  </bookViews>
  <sheets>
    <sheet name="DATOS DE EVALUACION" sheetId="1" r:id="rId1"/>
    <sheet name="AV. SIGLO XXI SP" sheetId="2" r:id="rId2"/>
    <sheet name="AV. crecer CP" sheetId="6" r:id="rId3"/>
    <sheet name="COSTOS TOTALES SP" sheetId="9" r:id="rId4"/>
    <sheet name="COSTOS TOTALES CP" sheetId="10" r:id="rId5"/>
    <sheet name="AHORROS" sheetId="11" r:id="rId6"/>
    <sheet name="INDICADORES RENTABILIDAD" sheetId="12" r:id="rId7"/>
    <sheet name="SENSIBILIDAD" sheetId="13" r:id="rId8"/>
  </sheets>
  <calcPr calcId="152511"/>
</workbook>
</file>

<file path=xl/calcChain.xml><?xml version="1.0" encoding="utf-8"?>
<calcChain xmlns="http://schemas.openxmlformats.org/spreadsheetml/2006/main">
  <c r="AC6" i="11" l="1"/>
  <c r="C6" i="12" l="1"/>
  <c r="B9" i="13" l="1"/>
  <c r="B14" i="13" l="1"/>
  <c r="D5" i="10"/>
  <c r="B10" i="13" l="1"/>
  <c r="B8" i="13"/>
  <c r="D5" i="9" l="1"/>
  <c r="BF43" i="2"/>
  <c r="BF6" i="2"/>
  <c r="BF43" i="6"/>
  <c r="BF6" i="6" l="1"/>
  <c r="P16" i="1" l="1"/>
  <c r="N4" i="12" l="1"/>
  <c r="M6" i="12" s="1"/>
  <c r="E27" i="6"/>
  <c r="D27" i="6" s="1"/>
  <c r="D4" i="2"/>
  <c r="D11" i="2"/>
  <c r="D11" i="6"/>
  <c r="D4" i="6"/>
  <c r="O40" i="6"/>
  <c r="O40" i="2"/>
  <c r="M3" i="10"/>
  <c r="B6" i="13"/>
  <c r="D10" i="6"/>
  <c r="E9" i="6"/>
  <c r="E8" i="6"/>
  <c r="E7" i="6"/>
  <c r="C9" i="6"/>
  <c r="C8" i="6"/>
  <c r="C7" i="6"/>
  <c r="D5" i="6"/>
  <c r="E27" i="2"/>
  <c r="D27" i="2" s="1"/>
  <c r="E9" i="2"/>
  <c r="E8" i="2"/>
  <c r="E7" i="2"/>
  <c r="C9" i="2"/>
  <c r="C8" i="2"/>
  <c r="C7" i="2"/>
  <c r="D10" i="2"/>
  <c r="D5" i="2"/>
  <c r="AI12" i="2" l="1"/>
  <c r="AI6" i="2"/>
  <c r="AH6" i="2"/>
  <c r="AE7" i="2"/>
  <c r="AJ7" i="2"/>
  <c r="AF8" i="2"/>
  <c r="AJ8" i="2"/>
  <c r="AF9" i="2"/>
  <c r="AJ9" i="2"/>
  <c r="AF10" i="2"/>
  <c r="AL10" i="2"/>
  <c r="AG11" i="2"/>
  <c r="AM11" i="2"/>
  <c r="AH12" i="2"/>
  <c r="AI11" i="2"/>
  <c r="AE6" i="2"/>
  <c r="AJ6" i="2"/>
  <c r="AF7" i="2"/>
  <c r="AL7" i="2"/>
  <c r="AG8" i="2"/>
  <c r="AL8" i="2"/>
  <c r="AG9" i="2"/>
  <c r="AL9" i="2"/>
  <c r="AG10" i="2"/>
  <c r="AM10" i="2"/>
  <c r="AH11" i="2"/>
  <c r="AE12" i="2"/>
  <c r="AJ12" i="2"/>
  <c r="AI10" i="2"/>
  <c r="AF6" i="2"/>
  <c r="AL6" i="2"/>
  <c r="AG7" i="2"/>
  <c r="AM7" i="2"/>
  <c r="AH8" i="2"/>
  <c r="AM8" i="2"/>
  <c r="AH9" i="2"/>
  <c r="AM9" i="2"/>
  <c r="AH10" i="2"/>
  <c r="AE11" i="2"/>
  <c r="AJ11" i="2"/>
  <c r="AF12" i="2"/>
  <c r="AL12" i="2"/>
  <c r="AI7" i="2"/>
  <c r="AG6" i="2"/>
  <c r="AM6" i="2"/>
  <c r="AH7" i="2"/>
  <c r="AE8" i="2"/>
  <c r="AI8" i="2"/>
  <c r="AE9" i="2"/>
  <c r="AI9" i="2"/>
  <c r="AE10" i="2"/>
  <c r="AJ10" i="2"/>
  <c r="AF11" i="2"/>
  <c r="AL11" i="2"/>
  <c r="AG12" i="2"/>
  <c r="AM12" i="2"/>
  <c r="AL6" i="6"/>
  <c r="AS6" i="6" s="1"/>
  <c r="AF7" i="6"/>
  <c r="AE6" i="6"/>
  <c r="A24" i="13"/>
  <c r="L4" i="11"/>
  <c r="L5" i="10"/>
  <c r="K6" i="11" s="1"/>
  <c r="Q6" i="12" s="1"/>
  <c r="AZ10" i="2"/>
  <c r="AZ7" i="2"/>
  <c r="N43" i="2"/>
  <c r="AI43" i="2" s="1"/>
  <c r="J43" i="2"/>
  <c r="AE43" i="2" s="1"/>
  <c r="L43" i="2"/>
  <c r="AG43" i="2" s="1"/>
  <c r="K43" i="2"/>
  <c r="AF43" i="2" s="1"/>
  <c r="O43" i="2"/>
  <c r="AJ43" i="2" s="1"/>
  <c r="M43" i="2"/>
  <c r="AH43" i="2" s="1"/>
  <c r="AZ12" i="2"/>
  <c r="AG21" i="2"/>
  <c r="AZ18" i="2"/>
  <c r="AZ14" i="2"/>
  <c r="BA11" i="6"/>
  <c r="AI21" i="6"/>
  <c r="AJ6" i="6"/>
  <c r="AZ20" i="6"/>
  <c r="AH21" i="6"/>
  <c r="AI6" i="6"/>
  <c r="BB16" i="6"/>
  <c r="AQ21" i="6"/>
  <c r="AH6" i="6"/>
  <c r="AZ7" i="6"/>
  <c r="BA21" i="6"/>
  <c r="AJ21" i="6"/>
  <c r="AJ10" i="6"/>
  <c r="AJ14" i="6"/>
  <c r="AJ18" i="6"/>
  <c r="AJ7" i="6"/>
  <c r="AJ11" i="6"/>
  <c r="AJ15" i="6"/>
  <c r="AJ19" i="6"/>
  <c r="AJ8" i="6"/>
  <c r="AJ12" i="6"/>
  <c r="AJ16" i="6"/>
  <c r="AJ20" i="6"/>
  <c r="AJ9" i="6"/>
  <c r="AJ13" i="6"/>
  <c r="AJ17" i="6"/>
  <c r="AZ14" i="6"/>
  <c r="AZ10" i="6"/>
  <c r="AZ18" i="6"/>
  <c r="AZ17" i="6"/>
  <c r="AG15" i="2"/>
  <c r="AH20" i="2"/>
  <c r="AI19" i="2"/>
  <c r="AH13" i="2"/>
  <c r="AF18" i="2"/>
  <c r="R4" i="12"/>
  <c r="AE16" i="6"/>
  <c r="AG7" i="6"/>
  <c r="AH19" i="6"/>
  <c r="AF13" i="6"/>
  <c r="AG17" i="2"/>
  <c r="B5" i="13"/>
  <c r="B13" i="13"/>
  <c r="B7" i="13"/>
  <c r="B11" i="13"/>
  <c r="J43" i="6"/>
  <c r="K43" i="6"/>
  <c r="L43" i="6"/>
  <c r="M43" i="6"/>
  <c r="N43" i="6"/>
  <c r="O43" i="6"/>
  <c r="AZ12" i="6"/>
  <c r="AZ8" i="6"/>
  <c r="AZ13" i="6"/>
  <c r="AZ19" i="6"/>
  <c r="AZ15" i="6"/>
  <c r="BB18" i="6"/>
  <c r="AZ9" i="6"/>
  <c r="AP6" i="6"/>
  <c r="AO8" i="6"/>
  <c r="AV8" i="6" s="1"/>
  <c r="AL9" i="6"/>
  <c r="AP9" i="6"/>
  <c r="AM10" i="6"/>
  <c r="AQ10" i="6"/>
  <c r="AN11" i="6"/>
  <c r="AU11" i="6" s="1"/>
  <c r="AN12" i="6"/>
  <c r="AO13" i="6"/>
  <c r="AL14" i="6"/>
  <c r="AP14" i="6"/>
  <c r="AM15" i="6"/>
  <c r="AQ15" i="6"/>
  <c r="AM16" i="6"/>
  <c r="AQ16" i="6"/>
  <c r="AN17" i="6"/>
  <c r="AU17" i="6" s="1"/>
  <c r="AO18" i="6"/>
  <c r="AL19" i="6"/>
  <c r="AP19" i="6"/>
  <c r="AO20" i="6"/>
  <c r="AO21" i="6"/>
  <c r="AV21" i="6" s="1"/>
  <c r="AM6" i="6"/>
  <c r="AT6" i="6" s="1"/>
  <c r="AQ6" i="6"/>
  <c r="AL8" i="6"/>
  <c r="AP8" i="6"/>
  <c r="AM9" i="6"/>
  <c r="AQ9" i="6"/>
  <c r="AN10" i="6"/>
  <c r="AO11" i="6"/>
  <c r="AO12" i="6"/>
  <c r="AV12" i="6" s="1"/>
  <c r="AL13" i="6"/>
  <c r="AP13" i="6"/>
  <c r="AM14" i="6"/>
  <c r="AQ14" i="6"/>
  <c r="AN15" i="6"/>
  <c r="AU15" i="6" s="1"/>
  <c r="AN16" i="6"/>
  <c r="AU16" i="6" s="1"/>
  <c r="AO17" i="6"/>
  <c r="AV17" i="6" s="1"/>
  <c r="AL18" i="6"/>
  <c r="AP18" i="6"/>
  <c r="AM19" i="6"/>
  <c r="AQ19" i="6"/>
  <c r="AL20" i="6"/>
  <c r="AP20" i="6"/>
  <c r="AL21" i="6"/>
  <c r="AS21" i="6" s="1"/>
  <c r="AP21" i="6"/>
  <c r="AW21" i="6" s="1"/>
  <c r="AN6" i="6"/>
  <c r="AF6" i="6"/>
  <c r="AM8" i="6"/>
  <c r="AQ8" i="6"/>
  <c r="AN9" i="6"/>
  <c r="AU9" i="6" s="1"/>
  <c r="AO10" i="6"/>
  <c r="AL11" i="6"/>
  <c r="AP11" i="6"/>
  <c r="AL12" i="6"/>
  <c r="AP12" i="6"/>
  <c r="AM13" i="6"/>
  <c r="AQ13" i="6"/>
  <c r="AN14" i="6"/>
  <c r="AU14" i="6" s="1"/>
  <c r="AO15" i="6"/>
  <c r="AO16" i="6"/>
  <c r="AL17" i="6"/>
  <c r="AP17" i="6"/>
  <c r="AM18" i="6"/>
  <c r="AQ18" i="6"/>
  <c r="AN19" i="6"/>
  <c r="AU19" i="6" s="1"/>
  <c r="AM20" i="6"/>
  <c r="AQ20" i="6"/>
  <c r="AM21" i="6"/>
  <c r="AL10" i="6"/>
  <c r="AO14" i="6"/>
  <c r="AL16" i="6"/>
  <c r="AN18" i="6"/>
  <c r="AU18" i="6" s="1"/>
  <c r="AN20" i="6"/>
  <c r="AU20" i="6" s="1"/>
  <c r="AG6" i="6"/>
  <c r="AP10" i="6"/>
  <c r="AM12" i="6"/>
  <c r="AL15" i="6"/>
  <c r="AP16" i="6"/>
  <c r="AO19" i="6"/>
  <c r="AO6" i="6"/>
  <c r="AN8" i="6"/>
  <c r="AU8" i="6" s="1"/>
  <c r="AM11" i="6"/>
  <c r="AQ12" i="6"/>
  <c r="AP15" i="6"/>
  <c r="AM17" i="6"/>
  <c r="AN21" i="6"/>
  <c r="AQ11" i="6"/>
  <c r="AL7" i="6"/>
  <c r="AO7" i="6"/>
  <c r="AF8" i="6"/>
  <c r="AG9" i="6"/>
  <c r="AH10" i="6"/>
  <c r="AH11" i="6"/>
  <c r="AF12" i="6"/>
  <c r="AG13" i="6"/>
  <c r="AH14" i="6"/>
  <c r="AE15" i="6"/>
  <c r="AI15" i="6"/>
  <c r="AF16" i="6"/>
  <c r="AE17" i="6"/>
  <c r="AI17" i="6"/>
  <c r="AE18" i="6"/>
  <c r="AI18" i="6"/>
  <c r="AE19" i="6"/>
  <c r="AI19" i="6"/>
  <c r="AG20" i="6"/>
  <c r="AG21" i="6"/>
  <c r="AN13" i="6"/>
  <c r="AU13" i="6" s="1"/>
  <c r="AM7" i="6"/>
  <c r="AG8" i="6"/>
  <c r="AH9" i="6"/>
  <c r="AE10" i="6"/>
  <c r="AI10" i="6"/>
  <c r="AE11" i="6"/>
  <c r="AI11" i="6"/>
  <c r="AG12" i="6"/>
  <c r="AH13" i="6"/>
  <c r="AE14" i="6"/>
  <c r="AI14" i="6"/>
  <c r="AF15" i="6"/>
  <c r="AG16" i="6"/>
  <c r="AF17" i="6"/>
  <c r="AF18" i="6"/>
  <c r="AF19" i="6"/>
  <c r="AH20" i="6"/>
  <c r="AP7" i="6"/>
  <c r="AH8" i="6"/>
  <c r="AE9" i="6"/>
  <c r="AI9" i="6"/>
  <c r="AF10" i="6"/>
  <c r="AF11" i="6"/>
  <c r="AH12" i="6"/>
  <c r="AE13" i="6"/>
  <c r="AI13" i="6"/>
  <c r="AF14" i="6"/>
  <c r="AG15" i="6"/>
  <c r="AH16" i="6"/>
  <c r="AG17" i="6"/>
  <c r="AG18" i="6"/>
  <c r="AG19" i="6"/>
  <c r="AE20" i="6"/>
  <c r="AI20" i="6"/>
  <c r="AE21" i="6"/>
  <c r="AG14" i="6"/>
  <c r="AG11" i="6"/>
  <c r="AG10" i="6"/>
  <c r="AI8" i="6"/>
  <c r="AQ7" i="6"/>
  <c r="AO9" i="6"/>
  <c r="AI7" i="6"/>
  <c r="AE7" i="6"/>
  <c r="AF21" i="6"/>
  <c r="AF20" i="6"/>
  <c r="AH17" i="6"/>
  <c r="AH15" i="6"/>
  <c r="AI12" i="6"/>
  <c r="AE8" i="6"/>
  <c r="AN7" i="6"/>
  <c r="AU7" i="6" s="1"/>
  <c r="AH7" i="6"/>
  <c r="AH18" i="6"/>
  <c r="AI16" i="6"/>
  <c r="AE12" i="6"/>
  <c r="AF9" i="6"/>
  <c r="AQ17" i="6"/>
  <c r="AG20" i="2"/>
  <c r="AF19" i="2"/>
  <c r="AE18" i="2"/>
  <c r="AF17" i="2"/>
  <c r="AF15" i="2"/>
  <c r="AG14" i="2"/>
  <c r="AQ6" i="2"/>
  <c r="AZ20" i="2"/>
  <c r="AO7" i="2"/>
  <c r="AO8" i="2"/>
  <c r="AO9" i="2"/>
  <c r="AO10" i="2"/>
  <c r="AN11" i="2"/>
  <c r="AN12" i="2"/>
  <c r="AN13" i="2"/>
  <c r="AN14" i="2"/>
  <c r="AM15" i="2"/>
  <c r="AQ15" i="2"/>
  <c r="AM16" i="2"/>
  <c r="AQ16" i="2"/>
  <c r="AM17" i="2"/>
  <c r="AQ17" i="2"/>
  <c r="AM18" i="2"/>
  <c r="AQ18" i="2"/>
  <c r="AZ9" i="2"/>
  <c r="AZ13" i="2"/>
  <c r="AZ17" i="2"/>
  <c r="AP7" i="2"/>
  <c r="AP8" i="2"/>
  <c r="AP9" i="2"/>
  <c r="AP10" i="2"/>
  <c r="AO11" i="2"/>
  <c r="AO12" i="2"/>
  <c r="AO13" i="2"/>
  <c r="AO14" i="2"/>
  <c r="AN15" i="2"/>
  <c r="AN16" i="2"/>
  <c r="AN17" i="2"/>
  <c r="AN18" i="2"/>
  <c r="BB16" i="2"/>
  <c r="AN9" i="2"/>
  <c r="AQ10" i="2"/>
  <c r="AQ11" i="2"/>
  <c r="AQ12" i="2"/>
  <c r="AQ13" i="2"/>
  <c r="AQ14" i="2"/>
  <c r="AL16" i="2"/>
  <c r="AO17" i="2"/>
  <c r="AP18" i="2"/>
  <c r="AO19" i="2"/>
  <c r="AO20" i="2"/>
  <c r="AO21" i="2"/>
  <c r="AZ19" i="2"/>
  <c r="AZ8" i="2"/>
  <c r="AN8" i="2"/>
  <c r="AQ9" i="2"/>
  <c r="AL13" i="2"/>
  <c r="AL14" i="2"/>
  <c r="AL15" i="2"/>
  <c r="AO16" i="2"/>
  <c r="AP17" i="2"/>
  <c r="AL19" i="2"/>
  <c r="AP19" i="2"/>
  <c r="AL20" i="2"/>
  <c r="AP20" i="2"/>
  <c r="AL21" i="2"/>
  <c r="AP21" i="2"/>
  <c r="BA11" i="2"/>
  <c r="BA21" i="2"/>
  <c r="AN7" i="2"/>
  <c r="AQ8" i="2"/>
  <c r="AM13" i="2"/>
  <c r="AM14" i="2"/>
  <c r="AO15" i="2"/>
  <c r="AP16" i="2"/>
  <c r="AL18" i="2"/>
  <c r="AM19" i="2"/>
  <c r="AQ19" i="2"/>
  <c r="AM20" i="2"/>
  <c r="AQ20" i="2"/>
  <c r="AM21" i="2"/>
  <c r="AQ21" i="2"/>
  <c r="AQ7" i="2"/>
  <c r="AN10" i="2"/>
  <c r="AP14" i="2"/>
  <c r="AL17" i="2"/>
  <c r="AO6" i="2"/>
  <c r="AP11" i="2"/>
  <c r="AP15" i="2"/>
  <c r="AO18" i="2"/>
  <c r="AN20" i="2"/>
  <c r="AP12" i="2"/>
  <c r="AP6" i="2"/>
  <c r="AE13" i="2"/>
  <c r="AI13" i="2"/>
  <c r="AH14" i="2"/>
  <c r="AH15" i="2"/>
  <c r="AE16" i="2"/>
  <c r="AI16" i="2"/>
  <c r="AH17" i="2"/>
  <c r="AG18" i="2"/>
  <c r="AG19" i="2"/>
  <c r="AE20" i="2"/>
  <c r="AI20" i="2"/>
  <c r="AE21" i="2"/>
  <c r="AI21" i="2"/>
  <c r="AN19" i="2"/>
  <c r="AN6" i="2"/>
  <c r="AG13" i="2"/>
  <c r="AF14" i="2"/>
  <c r="AJ14" i="2"/>
  <c r="AZ15" i="2"/>
  <c r="AP13" i="2"/>
  <c r="AN21" i="2"/>
  <c r="AF13" i="2"/>
  <c r="AJ13" i="2"/>
  <c r="AE14" i="2"/>
  <c r="AI14" i="2"/>
  <c r="AE15" i="2"/>
  <c r="AI15" i="2"/>
  <c r="AF16" i="2"/>
  <c r="AJ16" i="2"/>
  <c r="AE17" i="2"/>
  <c r="AI17" i="2"/>
  <c r="AH18" i="2"/>
  <c r="AH19" i="2"/>
  <c r="AF20" i="2"/>
  <c r="AJ20" i="2"/>
  <c r="AF21" i="2"/>
  <c r="AJ21" i="2"/>
  <c r="AE19" i="2"/>
  <c r="AJ18" i="2"/>
  <c r="AH16" i="2"/>
  <c r="AH21" i="2"/>
  <c r="AJ19" i="2"/>
  <c r="AI18" i="2"/>
  <c r="AJ17" i="2"/>
  <c r="AG16" i="2"/>
  <c r="AJ15" i="2"/>
  <c r="B12" i="13"/>
  <c r="BF11" i="2" l="1"/>
  <c r="BF48" i="2"/>
  <c r="BF57" i="2"/>
  <c r="BF20" i="2"/>
  <c r="D19" i="9" s="1"/>
  <c r="D20" i="11" s="1"/>
  <c r="C20" i="12" s="1"/>
  <c r="BF17" i="6"/>
  <c r="E16" i="10" s="1"/>
  <c r="BF54" i="6"/>
  <c r="BF7" i="2"/>
  <c r="BF44" i="2"/>
  <c r="BF17" i="2"/>
  <c r="BF54" i="2"/>
  <c r="BF8" i="6"/>
  <c r="E7" i="10" s="1"/>
  <c r="L7" i="10" s="1"/>
  <c r="BF45" i="6"/>
  <c r="BF55" i="6"/>
  <c r="BF11" i="6"/>
  <c r="E10" i="10" s="1"/>
  <c r="BF48" i="6"/>
  <c r="BF49" i="2"/>
  <c r="BF12" i="2"/>
  <c r="BF47" i="2"/>
  <c r="BF10" i="2"/>
  <c r="BF52" i="2"/>
  <c r="BF15" i="2"/>
  <c r="BF13" i="6"/>
  <c r="E12" i="10" s="1"/>
  <c r="BF50" i="6"/>
  <c r="BF45" i="2"/>
  <c r="BF8" i="2"/>
  <c r="BF13" i="2"/>
  <c r="BF50" i="2"/>
  <c r="BF15" i="6"/>
  <c r="E14" i="10" s="1"/>
  <c r="BF52" i="6"/>
  <c r="BF12" i="6"/>
  <c r="E11" i="10" s="1"/>
  <c r="BF49" i="6"/>
  <c r="BF10" i="6"/>
  <c r="E9" i="10" s="1"/>
  <c r="BF47" i="6"/>
  <c r="BF20" i="6"/>
  <c r="E19" i="10" s="1"/>
  <c r="BF57" i="6"/>
  <c r="BF14" i="2"/>
  <c r="D13" i="9" s="1"/>
  <c r="D14" i="11" s="1"/>
  <c r="C14" i="12" s="1"/>
  <c r="BF51" i="2"/>
  <c r="BF53" i="2"/>
  <c r="BF16" i="2"/>
  <c r="BF9" i="6"/>
  <c r="E8" i="10" s="1"/>
  <c r="L8" i="10" s="1"/>
  <c r="BF46" i="6"/>
  <c r="BF7" i="6"/>
  <c r="E6" i="10" s="1"/>
  <c r="L6" i="10" s="1"/>
  <c r="BF44" i="6"/>
  <c r="BF21" i="2"/>
  <c r="BF58" i="2"/>
  <c r="BF56" i="2"/>
  <c r="BF19" i="2"/>
  <c r="BF9" i="2"/>
  <c r="BF46" i="2"/>
  <c r="BF19" i="6"/>
  <c r="E18" i="10" s="1"/>
  <c r="BF56" i="6"/>
  <c r="BF14" i="6"/>
  <c r="E13" i="10" s="1"/>
  <c r="BF51" i="6"/>
  <c r="BF21" i="6"/>
  <c r="E20" i="10" s="1"/>
  <c r="BF58" i="6"/>
  <c r="BF16" i="6"/>
  <c r="E15" i="10" s="1"/>
  <c r="L15" i="10" s="1"/>
  <c r="K16" i="11" s="1"/>
  <c r="BF53" i="6"/>
  <c r="BF18" i="2"/>
  <c r="BF55" i="2"/>
  <c r="BD6" i="6"/>
  <c r="AU43" i="2"/>
  <c r="AW43" i="2"/>
  <c r="AX43" i="2"/>
  <c r="D6" i="11"/>
  <c r="AS6" i="2"/>
  <c r="AS43" i="2"/>
  <c r="D6" i="9"/>
  <c r="D7" i="11" s="1"/>
  <c r="C7" i="12" s="1"/>
  <c r="D12" i="9"/>
  <c r="D13" i="11" s="1"/>
  <c r="C13" i="12" s="1"/>
  <c r="D9" i="9"/>
  <c r="AT43" i="2"/>
  <c r="D17" i="9"/>
  <c r="D11" i="9"/>
  <c r="D12" i="11" s="1"/>
  <c r="C12" i="12" s="1"/>
  <c r="D16" i="9"/>
  <c r="D17" i="11" s="1"/>
  <c r="C17" i="12" s="1"/>
  <c r="D10" i="9"/>
  <c r="D11" i="11" s="1"/>
  <c r="C11" i="12" s="1"/>
  <c r="D20" i="9"/>
  <c r="D21" i="11" s="1"/>
  <c r="C21" i="12" s="1"/>
  <c r="D7" i="9"/>
  <c r="D8" i="11" s="1"/>
  <c r="C8" i="12" s="1"/>
  <c r="AV43" i="2"/>
  <c r="D18" i="9"/>
  <c r="D19" i="11" s="1"/>
  <c r="C19" i="12" s="1"/>
  <c r="BD21" i="6"/>
  <c r="BD6" i="2"/>
  <c r="BD7" i="2"/>
  <c r="B6" i="9" s="1"/>
  <c r="BD21" i="2"/>
  <c r="B20" i="9" s="1"/>
  <c r="BD10" i="2"/>
  <c r="B9" i="9" s="1"/>
  <c r="BD9" i="2"/>
  <c r="B8" i="9" s="1"/>
  <c r="BD20" i="6"/>
  <c r="B19" i="10" s="1"/>
  <c r="BF18" i="6"/>
  <c r="E17" i="10" s="1"/>
  <c r="BD7" i="6"/>
  <c r="B6" i="10" s="1"/>
  <c r="BD13" i="2"/>
  <c r="B12" i="9" s="1"/>
  <c r="BD12" i="2"/>
  <c r="B11" i="9" s="1"/>
  <c r="BD16" i="6"/>
  <c r="B15" i="10" s="1"/>
  <c r="BD13" i="6"/>
  <c r="B12" i="10" s="1"/>
  <c r="BD18" i="6"/>
  <c r="B17" i="10" s="1"/>
  <c r="B20" i="10"/>
  <c r="BD11" i="2"/>
  <c r="BD19" i="2"/>
  <c r="B18" i="9" s="1"/>
  <c r="BD20" i="2"/>
  <c r="B19" i="9" s="1"/>
  <c r="BD14" i="2"/>
  <c r="B13" i="9" s="1"/>
  <c r="BD15" i="2"/>
  <c r="B14" i="9" s="1"/>
  <c r="AT7" i="6"/>
  <c r="AT11" i="6"/>
  <c r="AV19" i="6"/>
  <c r="AX20" i="6"/>
  <c r="AW12" i="6"/>
  <c r="AT15" i="6"/>
  <c r="AW6" i="6"/>
  <c r="AW43" i="6"/>
  <c r="AU10" i="6"/>
  <c r="AV20" i="6"/>
  <c r="AX17" i="6"/>
  <c r="BD9" i="6"/>
  <c r="B8" i="10" s="1"/>
  <c r="BD15" i="6"/>
  <c r="B14" i="10" s="1"/>
  <c r="BD17" i="6"/>
  <c r="B16" i="10" s="1"/>
  <c r="AT17" i="6"/>
  <c r="AW16" i="6"/>
  <c r="AS10" i="6"/>
  <c r="AT20" i="6"/>
  <c r="AW17" i="6"/>
  <c r="AS12" i="6"/>
  <c r="AW20" i="6"/>
  <c r="AW18" i="6"/>
  <c r="AS13" i="6"/>
  <c r="AX9" i="6"/>
  <c r="AW19" i="6"/>
  <c r="AX16" i="6"/>
  <c r="AW14" i="6"/>
  <c r="AS9" i="6"/>
  <c r="AS43" i="6"/>
  <c r="E5" i="10"/>
  <c r="O44" i="6"/>
  <c r="AX44" i="6" s="1"/>
  <c r="AJ43" i="6"/>
  <c r="K44" i="6"/>
  <c r="AT44" i="6" s="1"/>
  <c r="AF43" i="6"/>
  <c r="AS7" i="6"/>
  <c r="AU21" i="6"/>
  <c r="AV15" i="6"/>
  <c r="AV10" i="6"/>
  <c r="AW13" i="6"/>
  <c r="AT43" i="6"/>
  <c r="AW9" i="6"/>
  <c r="L44" i="6"/>
  <c r="AG43" i="6"/>
  <c r="AU12" i="6"/>
  <c r="AV9" i="6"/>
  <c r="AX7" i="6"/>
  <c r="BD14" i="6"/>
  <c r="B13" i="10" s="1"/>
  <c r="BD19" i="6"/>
  <c r="B18" i="10" s="1"/>
  <c r="BD8" i="6"/>
  <c r="B7" i="10" s="1"/>
  <c r="AW15" i="6"/>
  <c r="AV6" i="6"/>
  <c r="AV43" i="6"/>
  <c r="AS15" i="6"/>
  <c r="AX21" i="6"/>
  <c r="AS17" i="6"/>
  <c r="AX13" i="6"/>
  <c r="AW11" i="6"/>
  <c r="AX8" i="6"/>
  <c r="AU6" i="6"/>
  <c r="AU43" i="6"/>
  <c r="AS20" i="6"/>
  <c r="AS18" i="6"/>
  <c r="AX14" i="6"/>
  <c r="AT9" i="6"/>
  <c r="AS19" i="6"/>
  <c r="AT16" i="6"/>
  <c r="AS14" i="6"/>
  <c r="AX10" i="6"/>
  <c r="N44" i="6"/>
  <c r="AW44" i="6" s="1"/>
  <c r="AI43" i="6"/>
  <c r="J44" i="6"/>
  <c r="AE43" i="6"/>
  <c r="AW10" i="6"/>
  <c r="AV14" i="6"/>
  <c r="AT18" i="6"/>
  <c r="AT19" i="6"/>
  <c r="AS8" i="6"/>
  <c r="BD12" i="6"/>
  <c r="B11" i="10" s="1"/>
  <c r="BD10" i="6"/>
  <c r="B9" i="10" s="1"/>
  <c r="AW7" i="6"/>
  <c r="BD11" i="6"/>
  <c r="B10" i="10" s="1"/>
  <c r="AV7" i="6"/>
  <c r="AX11" i="6"/>
  <c r="AX12" i="6"/>
  <c r="AT12" i="6"/>
  <c r="AS16" i="6"/>
  <c r="AT21" i="6"/>
  <c r="AX18" i="6"/>
  <c r="AV16" i="6"/>
  <c r="AT13" i="6"/>
  <c r="AS11" i="6"/>
  <c r="AT8" i="6"/>
  <c r="AX19" i="6"/>
  <c r="AT14" i="6"/>
  <c r="AV11" i="6"/>
  <c r="AW8" i="6"/>
  <c r="AX6" i="6"/>
  <c r="AX43" i="6"/>
  <c r="AV18" i="6"/>
  <c r="AX15" i="6"/>
  <c r="AV13" i="6"/>
  <c r="AT10" i="6"/>
  <c r="M44" i="6"/>
  <c r="AH43" i="6"/>
  <c r="J44" i="2"/>
  <c r="AE44" i="2" s="1"/>
  <c r="AU20" i="2"/>
  <c r="AT20" i="2"/>
  <c r="AU7" i="2"/>
  <c r="AX14" i="2"/>
  <c r="AU17" i="2"/>
  <c r="N44" i="2"/>
  <c r="AI44" i="2" s="1"/>
  <c r="K44" i="2"/>
  <c r="AF44" i="2" s="1"/>
  <c r="AW12" i="2"/>
  <c r="BD8" i="2"/>
  <c r="B7" i="9" s="1"/>
  <c r="AT6" i="2"/>
  <c r="AV18" i="2"/>
  <c r="AU10" i="2"/>
  <c r="AX21" i="2"/>
  <c r="AX19" i="2"/>
  <c r="AV15" i="2"/>
  <c r="AT11" i="2"/>
  <c r="AS21" i="2"/>
  <c r="AS19" i="2"/>
  <c r="AS14" i="2"/>
  <c r="AX9" i="2"/>
  <c r="AW18" i="2"/>
  <c r="AX13" i="2"/>
  <c r="AU9" i="2"/>
  <c r="AU16" i="2"/>
  <c r="AV12" i="2"/>
  <c r="AW9" i="2"/>
  <c r="AW7" i="2"/>
  <c r="AT17" i="2"/>
  <c r="AT15" i="2"/>
  <c r="AU11" i="2"/>
  <c r="AV7" i="2"/>
  <c r="AW13" i="2"/>
  <c r="AT12" i="2"/>
  <c r="AW19" i="2"/>
  <c r="AS10" i="2"/>
  <c r="AX15" i="2"/>
  <c r="AU12" i="2"/>
  <c r="AV8" i="2"/>
  <c r="AX6" i="2"/>
  <c r="L44" i="2"/>
  <c r="AG44" i="2" s="1"/>
  <c r="BD16" i="2"/>
  <c r="B15" i="9" s="1"/>
  <c r="AU19" i="2"/>
  <c r="BD17" i="2"/>
  <c r="B16" i="9" s="1"/>
  <c r="AW6" i="2"/>
  <c r="AW15" i="2"/>
  <c r="AX7" i="2"/>
  <c r="AT21" i="2"/>
  <c r="AT19" i="2"/>
  <c r="AT14" i="2"/>
  <c r="AT10" i="2"/>
  <c r="AW20" i="2"/>
  <c r="AW17" i="2"/>
  <c r="AS13" i="2"/>
  <c r="AU8" i="2"/>
  <c r="AV21" i="2"/>
  <c r="AV17" i="2"/>
  <c r="AX12" i="2"/>
  <c r="AT8" i="2"/>
  <c r="D8" i="9"/>
  <c r="D9" i="11" s="1"/>
  <c r="C9" i="12" s="1"/>
  <c r="AU15" i="2"/>
  <c r="AV11" i="2"/>
  <c r="AS9" i="2"/>
  <c r="AS7" i="2"/>
  <c r="AX18" i="2"/>
  <c r="AX16" i="2"/>
  <c r="AU14" i="2"/>
  <c r="AV10" i="2"/>
  <c r="BD18" i="2"/>
  <c r="B17" i="9" s="1"/>
  <c r="M44" i="2"/>
  <c r="AH44" i="2" s="1"/>
  <c r="AV6" i="2"/>
  <c r="AW14" i="2"/>
  <c r="AW16" i="2"/>
  <c r="AW21" i="2"/>
  <c r="AS15" i="2"/>
  <c r="AS11" i="2"/>
  <c r="AV19" i="2"/>
  <c r="AX10" i="2"/>
  <c r="AV13" i="2"/>
  <c r="AS8" i="2"/>
  <c r="AX17" i="2"/>
  <c r="O44" i="2"/>
  <c r="AJ44" i="2" s="1"/>
  <c r="AU21" i="2"/>
  <c r="AU6" i="2"/>
  <c r="AT9" i="2"/>
  <c r="AW11" i="2"/>
  <c r="AS17" i="2"/>
  <c r="AX20" i="2"/>
  <c r="AS18" i="2"/>
  <c r="AT13" i="2"/>
  <c r="AX8" i="2"/>
  <c r="AS20" i="2"/>
  <c r="AV16" i="2"/>
  <c r="AS12" i="2"/>
  <c r="AT7" i="2"/>
  <c r="AV20" i="2"/>
  <c r="AS16" i="2"/>
  <c r="AX11" i="2"/>
  <c r="AU18" i="2"/>
  <c r="AV14" i="2"/>
  <c r="AW10" i="2"/>
  <c r="AW8" i="2"/>
  <c r="D15" i="9"/>
  <c r="AT18" i="2"/>
  <c r="AT16" i="2"/>
  <c r="AU13" i="2"/>
  <c r="AV9" i="2"/>
  <c r="D14" i="9"/>
  <c r="D15" i="11" s="1"/>
  <c r="C15" i="12" s="1"/>
  <c r="K9" i="11" l="1"/>
  <c r="D16" i="11"/>
  <c r="C16" i="12" s="1"/>
  <c r="D18" i="11"/>
  <c r="C18" i="12" s="1"/>
  <c r="K8" i="11"/>
  <c r="B16" i="11"/>
  <c r="B8" i="11"/>
  <c r="K7" i="11"/>
  <c r="Q7" i="12" s="1"/>
  <c r="D10" i="11"/>
  <c r="C10" i="12" s="1"/>
  <c r="BE6" i="6"/>
  <c r="BG6" i="6" s="1"/>
  <c r="B18" i="11"/>
  <c r="B17" i="11"/>
  <c r="B20" i="11"/>
  <c r="B21" i="11"/>
  <c r="B13" i="11"/>
  <c r="B9" i="11"/>
  <c r="B19" i="11"/>
  <c r="B10" i="11"/>
  <c r="B15" i="11"/>
  <c r="B14" i="11"/>
  <c r="B12" i="11"/>
  <c r="B7" i="11"/>
  <c r="AS44" i="2"/>
  <c r="AV44" i="2"/>
  <c r="AU44" i="2"/>
  <c r="B5" i="9"/>
  <c r="AX44" i="2"/>
  <c r="B10" i="9"/>
  <c r="AT44" i="2"/>
  <c r="AW44" i="2"/>
  <c r="BE21" i="2"/>
  <c r="BG21" i="2" s="1"/>
  <c r="B5" i="10"/>
  <c r="BE14" i="6"/>
  <c r="C13" i="10" s="1"/>
  <c r="BE11" i="6"/>
  <c r="BE8" i="6"/>
  <c r="BE21" i="6"/>
  <c r="BE13" i="6"/>
  <c r="BE20" i="6"/>
  <c r="C19" i="10" s="1"/>
  <c r="BE17" i="6"/>
  <c r="BE19" i="6"/>
  <c r="BE10" i="2"/>
  <c r="BE9" i="2"/>
  <c r="BG9" i="2" s="1"/>
  <c r="BE20" i="2"/>
  <c r="BG20" i="2" s="1"/>
  <c r="BE43" i="2"/>
  <c r="L5" i="9" s="1"/>
  <c r="BE19" i="2"/>
  <c r="BG19" i="2" s="1"/>
  <c r="BE12" i="2"/>
  <c r="BG12" i="2" s="1"/>
  <c r="BE18" i="2"/>
  <c r="BG18" i="2" s="1"/>
  <c r="AH44" i="6"/>
  <c r="M45" i="6"/>
  <c r="BE16" i="6"/>
  <c r="C15" i="10" s="1"/>
  <c r="K45" i="6"/>
  <c r="AF44" i="6"/>
  <c r="C5" i="10"/>
  <c r="N45" i="6"/>
  <c r="AI44" i="6"/>
  <c r="BE18" i="6"/>
  <c r="BE10" i="6"/>
  <c r="J45" i="6"/>
  <c r="AE44" i="6"/>
  <c r="BE15" i="6"/>
  <c r="C14" i="10" s="1"/>
  <c r="BE12" i="6"/>
  <c r="C11" i="10" s="1"/>
  <c r="BD43" i="6"/>
  <c r="P5" i="10" s="1"/>
  <c r="BE7" i="6"/>
  <c r="C6" i="10" s="1"/>
  <c r="BE9" i="6"/>
  <c r="C8" i="10" s="1"/>
  <c r="BE43" i="6"/>
  <c r="Q5" i="10" s="1"/>
  <c r="AV44" i="6"/>
  <c r="L45" i="6"/>
  <c r="AG44" i="6"/>
  <c r="AU44" i="6"/>
  <c r="AS44" i="6"/>
  <c r="O45" i="6"/>
  <c r="AJ44" i="6"/>
  <c r="BE13" i="2"/>
  <c r="BE11" i="2"/>
  <c r="BG11" i="2" s="1"/>
  <c r="BE7" i="2"/>
  <c r="BG7" i="2" s="1"/>
  <c r="BE15" i="2"/>
  <c r="BE6" i="2"/>
  <c r="BD43" i="2"/>
  <c r="K5" i="9" s="1"/>
  <c r="M45" i="2"/>
  <c r="O45" i="2"/>
  <c r="K45" i="2"/>
  <c r="J45" i="2"/>
  <c r="BE16" i="2"/>
  <c r="N45" i="2"/>
  <c r="BE8" i="2"/>
  <c r="BE17" i="2"/>
  <c r="L45" i="2"/>
  <c r="BE14" i="2"/>
  <c r="BG14" i="2" s="1"/>
  <c r="B11" i="11" l="1"/>
  <c r="M5" i="9"/>
  <c r="O6" i="11"/>
  <c r="F5" i="10"/>
  <c r="B6" i="11"/>
  <c r="C15" i="9"/>
  <c r="V16" i="11" s="1"/>
  <c r="BG16" i="2"/>
  <c r="C14" i="9"/>
  <c r="V15" i="11" s="1"/>
  <c r="BG15" i="2"/>
  <c r="C16" i="9"/>
  <c r="V17" i="11" s="1"/>
  <c r="BG17" i="2"/>
  <c r="C7" i="9"/>
  <c r="V8" i="11" s="1"/>
  <c r="BG8" i="2"/>
  <c r="C5" i="9"/>
  <c r="E5" i="9" s="1"/>
  <c r="BG6" i="2"/>
  <c r="C12" i="9"/>
  <c r="V13" i="11" s="1"/>
  <c r="BG13" i="2"/>
  <c r="C9" i="9"/>
  <c r="V10" i="11" s="1"/>
  <c r="BG10" i="2"/>
  <c r="AF45" i="2"/>
  <c r="AT45" i="2"/>
  <c r="AI45" i="2"/>
  <c r="AW45" i="2"/>
  <c r="AG45" i="2"/>
  <c r="AU45" i="2"/>
  <c r="AJ45" i="2"/>
  <c r="AX45" i="2"/>
  <c r="AH45" i="2"/>
  <c r="AV45" i="2"/>
  <c r="C6" i="9"/>
  <c r="AE45" i="2"/>
  <c r="AS45" i="2"/>
  <c r="BG10" i="6"/>
  <c r="C9" i="10"/>
  <c r="BG13" i="6"/>
  <c r="C12" i="10"/>
  <c r="F12" i="10" s="1"/>
  <c r="BG8" i="6"/>
  <c r="C7" i="10"/>
  <c r="F7" i="10" s="1"/>
  <c r="BG18" i="6"/>
  <c r="C17" i="10"/>
  <c r="Y18" i="11" s="1"/>
  <c r="AA18" i="11" s="1"/>
  <c r="BG19" i="6"/>
  <c r="C18" i="10"/>
  <c r="BG21" i="6"/>
  <c r="C20" i="10"/>
  <c r="F20" i="10" s="1"/>
  <c r="BG17" i="6"/>
  <c r="C16" i="10"/>
  <c r="BG11" i="6"/>
  <c r="C10" i="10"/>
  <c r="C20" i="9"/>
  <c r="V21" i="11" s="1"/>
  <c r="C17" i="9"/>
  <c r="V18" i="11" s="1"/>
  <c r="C19" i="9"/>
  <c r="V20" i="11" s="1"/>
  <c r="C10" i="9"/>
  <c r="V11" i="11" s="1"/>
  <c r="C11" i="9"/>
  <c r="V12" i="11" s="1"/>
  <c r="C13" i="9"/>
  <c r="C18" i="9"/>
  <c r="V19" i="11" s="1"/>
  <c r="C8" i="9"/>
  <c r="V9" i="11" s="1"/>
  <c r="Q8" i="12"/>
  <c r="M7" i="12"/>
  <c r="Y7" i="11"/>
  <c r="AA7" i="11" s="1"/>
  <c r="Y14" i="11"/>
  <c r="AA14" i="11" s="1"/>
  <c r="BG14" i="6"/>
  <c r="BE44" i="2"/>
  <c r="L6" i="9" s="1"/>
  <c r="M8" i="12"/>
  <c r="F6" i="10"/>
  <c r="F11" i="10"/>
  <c r="F19" i="10"/>
  <c r="F14" i="10"/>
  <c r="F8" i="10"/>
  <c r="F15" i="10"/>
  <c r="F9" i="10"/>
  <c r="BG20" i="6"/>
  <c r="BE44" i="6"/>
  <c r="Q6" i="10" s="1"/>
  <c r="BG9" i="6"/>
  <c r="BG15" i="6"/>
  <c r="BG16" i="6"/>
  <c r="BG12" i="6"/>
  <c r="BG7" i="6"/>
  <c r="BG37" i="6" s="1"/>
  <c r="M6" i="10"/>
  <c r="AE45" i="6"/>
  <c r="J46" i="6"/>
  <c r="AS45" i="6"/>
  <c r="AI45" i="6"/>
  <c r="N46" i="6"/>
  <c r="AW45" i="6"/>
  <c r="BD44" i="6"/>
  <c r="P6" i="10" s="1"/>
  <c r="AJ45" i="6"/>
  <c r="O46" i="6"/>
  <c r="AX45" i="6"/>
  <c r="AG45" i="6"/>
  <c r="L46" i="6"/>
  <c r="AU45" i="6"/>
  <c r="BG43" i="6"/>
  <c r="AF45" i="6"/>
  <c r="K46" i="6"/>
  <c r="AT45" i="6"/>
  <c r="AH45" i="6"/>
  <c r="M46" i="6"/>
  <c r="AV45" i="6"/>
  <c r="BG43" i="2"/>
  <c r="K46" i="2"/>
  <c r="J46" i="2"/>
  <c r="L46" i="2"/>
  <c r="N46" i="2"/>
  <c r="BD44" i="2"/>
  <c r="K6" i="9" s="1"/>
  <c r="O46" i="2"/>
  <c r="M46" i="2"/>
  <c r="L20" i="10"/>
  <c r="K21" i="11" s="1"/>
  <c r="L14" i="10"/>
  <c r="K15" i="11" s="1"/>
  <c r="L10" i="10"/>
  <c r="K11" i="11" s="1"/>
  <c r="L17" i="10"/>
  <c r="K18" i="11" s="1"/>
  <c r="L18" i="10"/>
  <c r="K19" i="11" s="1"/>
  <c r="L13" i="10"/>
  <c r="K14" i="11" s="1"/>
  <c r="L11" i="10"/>
  <c r="K12" i="11" s="1"/>
  <c r="L9" i="10"/>
  <c r="K10" i="11" s="1"/>
  <c r="L16" i="10"/>
  <c r="K17" i="11" s="1"/>
  <c r="L19" i="10"/>
  <c r="K20" i="11" s="1"/>
  <c r="L12" i="10"/>
  <c r="K13" i="11" s="1"/>
  <c r="R6" i="10" l="1"/>
  <c r="V14" i="11"/>
  <c r="X14" i="11" s="1"/>
  <c r="AB14" i="11" s="1"/>
  <c r="AD14" i="11" s="1"/>
  <c r="V7" i="11"/>
  <c r="X7" i="11" s="1"/>
  <c r="AB7" i="11" s="1"/>
  <c r="AD7" i="11" s="1"/>
  <c r="V6" i="11"/>
  <c r="X6" i="11" s="1"/>
  <c r="O7" i="11"/>
  <c r="M6" i="9"/>
  <c r="C6" i="11"/>
  <c r="D6" i="12" s="1"/>
  <c r="C18" i="11"/>
  <c r="E18" i="11" s="1"/>
  <c r="X18" i="11"/>
  <c r="AB18" i="11" s="1"/>
  <c r="AD18" i="11" s="1"/>
  <c r="C21" i="11"/>
  <c r="E21" i="11" s="1"/>
  <c r="X21" i="11"/>
  <c r="C13" i="11"/>
  <c r="X13" i="11"/>
  <c r="C8" i="11"/>
  <c r="B8" i="12" s="1"/>
  <c r="X8" i="11"/>
  <c r="C15" i="11"/>
  <c r="X15" i="11"/>
  <c r="E8" i="9"/>
  <c r="X9" i="11"/>
  <c r="E10" i="9"/>
  <c r="X11" i="11"/>
  <c r="BG37" i="2"/>
  <c r="C19" i="11"/>
  <c r="X19" i="11"/>
  <c r="C20" i="11"/>
  <c r="G20" i="11" s="1"/>
  <c r="X20" i="11"/>
  <c r="C10" i="11"/>
  <c r="X10" i="11"/>
  <c r="C17" i="11"/>
  <c r="B17" i="12" s="1"/>
  <c r="X17" i="11"/>
  <c r="C16" i="11"/>
  <c r="X16" i="11"/>
  <c r="C9" i="11"/>
  <c r="X12" i="11"/>
  <c r="C11" i="11"/>
  <c r="C12" i="11"/>
  <c r="G12" i="11" s="1"/>
  <c r="C14" i="11"/>
  <c r="C7" i="11"/>
  <c r="B7" i="12" s="1"/>
  <c r="AJ46" i="2"/>
  <c r="AX46" i="2"/>
  <c r="AF46" i="2"/>
  <c r="AT46" i="2"/>
  <c r="AI46" i="2"/>
  <c r="AW46" i="2"/>
  <c r="AE46" i="2"/>
  <c r="AS46" i="2"/>
  <c r="AH46" i="2"/>
  <c r="AV46" i="2"/>
  <c r="AG46" i="2"/>
  <c r="AU46" i="2"/>
  <c r="E20" i="9"/>
  <c r="M5" i="10"/>
  <c r="E16" i="9"/>
  <c r="E17" i="9"/>
  <c r="F10" i="10"/>
  <c r="F21" i="10" s="1"/>
  <c r="F22" i="10" s="1"/>
  <c r="M7" i="10"/>
  <c r="Y13" i="11"/>
  <c r="AA13" i="11" s="1"/>
  <c r="Y9" i="11"/>
  <c r="AA9" i="11" s="1"/>
  <c r="Y8" i="11"/>
  <c r="AA8" i="11" s="1"/>
  <c r="E11" i="9"/>
  <c r="Y12" i="11"/>
  <c r="AA12" i="11" s="1"/>
  <c r="Y21" i="11"/>
  <c r="AA21" i="11" s="1"/>
  <c r="Y11" i="11"/>
  <c r="AA11" i="11" s="1"/>
  <c r="F18" i="10"/>
  <c r="Y19" i="11"/>
  <c r="AA19" i="11" s="1"/>
  <c r="Y10" i="11"/>
  <c r="AA10" i="11" s="1"/>
  <c r="Y15" i="11"/>
  <c r="AA15" i="11" s="1"/>
  <c r="F13" i="10"/>
  <c r="Y6" i="11"/>
  <c r="AA6" i="11" s="1"/>
  <c r="Y20" i="11"/>
  <c r="AA20" i="11" s="1"/>
  <c r="Y17" i="11"/>
  <c r="AA17" i="11" s="1"/>
  <c r="Y16" i="11"/>
  <c r="AA16" i="11" s="1"/>
  <c r="F16" i="10"/>
  <c r="F17" i="10"/>
  <c r="E9" i="9"/>
  <c r="E19" i="9"/>
  <c r="E12" i="9"/>
  <c r="E18" i="9"/>
  <c r="R5" i="10"/>
  <c r="P6" i="11"/>
  <c r="M47" i="6"/>
  <c r="AH46" i="6"/>
  <c r="AV46" i="6"/>
  <c r="BE45" i="6"/>
  <c r="Q7" i="10" s="1"/>
  <c r="O47" i="6"/>
  <c r="AJ46" i="6"/>
  <c r="AX46" i="6"/>
  <c r="AE46" i="6"/>
  <c r="J47" i="6"/>
  <c r="AS46" i="6"/>
  <c r="BG44" i="6"/>
  <c r="AG46" i="6"/>
  <c r="L47" i="6"/>
  <c r="AU46" i="6"/>
  <c r="AI46" i="6"/>
  <c r="N47" i="6"/>
  <c r="AW46" i="6"/>
  <c r="BD45" i="6"/>
  <c r="P7" i="10" s="1"/>
  <c r="K47" i="6"/>
  <c r="AF46" i="6"/>
  <c r="AT46" i="6"/>
  <c r="E14" i="9"/>
  <c r="BD45" i="2"/>
  <c r="K7" i="9" s="1"/>
  <c r="M47" i="2"/>
  <c r="K47" i="2"/>
  <c r="L47" i="2"/>
  <c r="J47" i="2"/>
  <c r="E6" i="9"/>
  <c r="E21" i="9" s="1"/>
  <c r="E22" i="9" s="1"/>
  <c r="E7" i="9"/>
  <c r="O47" i="2"/>
  <c r="BE45" i="2"/>
  <c r="L7" i="9" s="1"/>
  <c r="BG44" i="2"/>
  <c r="N47" i="2"/>
  <c r="E13" i="9"/>
  <c r="E15" i="9"/>
  <c r="M19" i="10"/>
  <c r="M9" i="10"/>
  <c r="M11" i="10"/>
  <c r="M15" i="10"/>
  <c r="M18" i="10"/>
  <c r="M10" i="10"/>
  <c r="M14" i="10"/>
  <c r="M8" i="10"/>
  <c r="M12" i="10"/>
  <c r="M16" i="10"/>
  <c r="M13" i="10"/>
  <c r="M17" i="10"/>
  <c r="M20" i="10"/>
  <c r="AE7" i="11" l="1"/>
  <c r="AF7" i="11" s="1"/>
  <c r="AD39" i="11" s="1"/>
  <c r="AE14" i="11"/>
  <c r="AF14" i="11" s="1"/>
  <c r="R6" i="12"/>
  <c r="E6" i="12"/>
  <c r="AE18" i="11"/>
  <c r="AF18" i="11" s="1"/>
  <c r="M7" i="9"/>
  <c r="G6" i="11"/>
  <c r="AB11" i="11"/>
  <c r="AD11" i="11" s="1"/>
  <c r="L6" i="11"/>
  <c r="E6" i="11"/>
  <c r="AB20" i="11"/>
  <c r="AD20" i="11" s="1"/>
  <c r="E16" i="11"/>
  <c r="AB16" i="11"/>
  <c r="AD16" i="11" s="1"/>
  <c r="AB17" i="11"/>
  <c r="AD17" i="11" s="1"/>
  <c r="G10" i="11"/>
  <c r="E14" i="11"/>
  <c r="E15" i="11"/>
  <c r="N6" i="12"/>
  <c r="E13" i="11"/>
  <c r="V6" i="12"/>
  <c r="W6" i="12" s="1"/>
  <c r="B9" i="12"/>
  <c r="E9" i="12" s="1"/>
  <c r="E19" i="11"/>
  <c r="AB9" i="11"/>
  <c r="AD9" i="11" s="1"/>
  <c r="E11" i="11"/>
  <c r="AB10" i="11"/>
  <c r="AD10" i="11" s="1"/>
  <c r="AB13" i="11"/>
  <c r="AD13" i="11" s="1"/>
  <c r="L7" i="11"/>
  <c r="AB15" i="11"/>
  <c r="AD15" i="11" s="1"/>
  <c r="AB12" i="11"/>
  <c r="AD12" i="11" s="1"/>
  <c r="AB8" i="11"/>
  <c r="AD8" i="11" s="1"/>
  <c r="B11" i="12"/>
  <c r="G11" i="11"/>
  <c r="AJ47" i="2"/>
  <c r="AX47" i="2"/>
  <c r="AF47" i="2"/>
  <c r="AT47" i="2"/>
  <c r="AI47" i="2"/>
  <c r="AW47" i="2"/>
  <c r="AE47" i="2"/>
  <c r="AS47" i="2"/>
  <c r="AH47" i="2"/>
  <c r="AV47" i="2"/>
  <c r="AG47" i="2"/>
  <c r="AU47" i="2"/>
  <c r="G21" i="11"/>
  <c r="E10" i="11"/>
  <c r="G17" i="11"/>
  <c r="E20" i="11"/>
  <c r="E17" i="11"/>
  <c r="G9" i="11"/>
  <c r="B12" i="12"/>
  <c r="E12" i="12" s="1"/>
  <c r="B18" i="12"/>
  <c r="E18" i="12" s="1"/>
  <c r="G18" i="11"/>
  <c r="AB19" i="11"/>
  <c r="AD19" i="11" s="1"/>
  <c r="AB21" i="11"/>
  <c r="AD21" i="11" s="1"/>
  <c r="G19" i="11"/>
  <c r="E12" i="11"/>
  <c r="B19" i="12"/>
  <c r="E19" i="12" s="1"/>
  <c r="AB6" i="11"/>
  <c r="AD6" i="11" s="1"/>
  <c r="E9" i="11"/>
  <c r="P7" i="11"/>
  <c r="B20" i="12"/>
  <c r="E20" i="12" s="1"/>
  <c r="B10" i="12"/>
  <c r="E10" i="12" s="1"/>
  <c r="B21" i="12"/>
  <c r="E21" i="12" s="1"/>
  <c r="G13" i="11"/>
  <c r="B13" i="12"/>
  <c r="E13" i="12" s="1"/>
  <c r="K48" i="6"/>
  <c r="AF47" i="6"/>
  <c r="AT47" i="6"/>
  <c r="BD46" i="6"/>
  <c r="P8" i="10" s="1"/>
  <c r="BG45" i="6"/>
  <c r="BE46" i="6"/>
  <c r="Q8" i="10" s="1"/>
  <c r="AG47" i="6"/>
  <c r="L48" i="6"/>
  <c r="AU47" i="6"/>
  <c r="AI47" i="6"/>
  <c r="N48" i="6"/>
  <c r="AW47" i="6"/>
  <c r="AE47" i="6"/>
  <c r="J48" i="6"/>
  <c r="AS47" i="6"/>
  <c r="O48" i="6"/>
  <c r="AJ47" i="6"/>
  <c r="AX47" i="6"/>
  <c r="M48" i="6"/>
  <c r="AH47" i="6"/>
  <c r="AV47" i="6"/>
  <c r="G15" i="11"/>
  <c r="B15" i="12"/>
  <c r="E15" i="12" s="1"/>
  <c r="BD46" i="2"/>
  <c r="K8" i="9" s="1"/>
  <c r="G16" i="11"/>
  <c r="B16" i="12"/>
  <c r="E16" i="12" s="1"/>
  <c r="N48" i="2"/>
  <c r="O48" i="2"/>
  <c r="E7" i="11"/>
  <c r="G7" i="11"/>
  <c r="L48" i="2"/>
  <c r="Q6" i="11"/>
  <c r="S6" i="11"/>
  <c r="J48" i="2"/>
  <c r="B14" i="12"/>
  <c r="E14" i="12" s="1"/>
  <c r="G14" i="11"/>
  <c r="E8" i="11"/>
  <c r="G8" i="11"/>
  <c r="L8" i="11"/>
  <c r="BE46" i="2"/>
  <c r="L8" i="9" s="1"/>
  <c r="K48" i="2"/>
  <c r="M48" i="2"/>
  <c r="BG45" i="2"/>
  <c r="M11" i="12"/>
  <c r="E11" i="12"/>
  <c r="M16" i="12"/>
  <c r="M19" i="12"/>
  <c r="M20" i="12"/>
  <c r="Q14" i="12"/>
  <c r="L14" i="11"/>
  <c r="Q13" i="12"/>
  <c r="L13" i="11"/>
  <c r="M14" i="12"/>
  <c r="M12" i="12"/>
  <c r="E17" i="12"/>
  <c r="M17" i="12"/>
  <c r="N17" i="12" s="1"/>
  <c r="Q21" i="12"/>
  <c r="L21" i="11"/>
  <c r="Q18" i="12"/>
  <c r="L18" i="11"/>
  <c r="Q15" i="12"/>
  <c r="L15" i="11"/>
  <c r="Q19" i="12"/>
  <c r="L19" i="11"/>
  <c r="Q16" i="12"/>
  <c r="L16" i="11"/>
  <c r="Q10" i="12"/>
  <c r="L10" i="11"/>
  <c r="Q20" i="12"/>
  <c r="L20" i="11"/>
  <c r="M21" i="12"/>
  <c r="M15" i="12"/>
  <c r="M18" i="12"/>
  <c r="M9" i="12"/>
  <c r="Q17" i="12"/>
  <c r="R17" i="12" s="1"/>
  <c r="L17" i="11"/>
  <c r="M10" i="12"/>
  <c r="M13" i="12"/>
  <c r="Q9" i="12"/>
  <c r="L9" i="11"/>
  <c r="Q11" i="12"/>
  <c r="L11" i="11"/>
  <c r="Q12" i="12"/>
  <c r="L12" i="11"/>
  <c r="AE12" i="11" l="1"/>
  <c r="AF12" i="11" s="1"/>
  <c r="AE16" i="11"/>
  <c r="AF16" i="11" s="1"/>
  <c r="AE15" i="11"/>
  <c r="AF15" i="11" s="1"/>
  <c r="AE11" i="11"/>
  <c r="AF11" i="11" s="1"/>
  <c r="AE10" i="11"/>
  <c r="AF10" i="11" s="1"/>
  <c r="AE21" i="11"/>
  <c r="AF21" i="11" s="1"/>
  <c r="AE9" i="11"/>
  <c r="AF9" i="11" s="1"/>
  <c r="AE20" i="11"/>
  <c r="AF20" i="11" s="1"/>
  <c r="AE19" i="11"/>
  <c r="AF19" i="11" s="1"/>
  <c r="AE8" i="11"/>
  <c r="AF8" i="11" s="1"/>
  <c r="AE13" i="11"/>
  <c r="AF13" i="11" s="1"/>
  <c r="AE17" i="11"/>
  <c r="AF17" i="11" s="1"/>
  <c r="O9" i="11"/>
  <c r="M8" i="9"/>
  <c r="AD38" i="11"/>
  <c r="AD37" i="11"/>
  <c r="R9" i="12"/>
  <c r="N9" i="12"/>
  <c r="N11" i="12"/>
  <c r="G6" i="12"/>
  <c r="R11" i="12"/>
  <c r="AG48" i="2"/>
  <c r="AU48" i="2"/>
  <c r="AJ48" i="2"/>
  <c r="AX48" i="2"/>
  <c r="AI48" i="2"/>
  <c r="AW48" i="2"/>
  <c r="AH48" i="2"/>
  <c r="AV48" i="2"/>
  <c r="AE48" i="2"/>
  <c r="AS48" i="2"/>
  <c r="AF48" i="2"/>
  <c r="AT48" i="2"/>
  <c r="U7" i="12"/>
  <c r="W7" i="12" s="1"/>
  <c r="V39" i="12" s="1"/>
  <c r="N19" i="12"/>
  <c r="N12" i="12"/>
  <c r="R12" i="12"/>
  <c r="N18" i="12"/>
  <c r="R18" i="12"/>
  <c r="R19" i="12"/>
  <c r="R10" i="12"/>
  <c r="R20" i="12"/>
  <c r="N20" i="12"/>
  <c r="BD47" i="6"/>
  <c r="P9" i="10" s="1"/>
  <c r="R7" i="10"/>
  <c r="P8" i="11"/>
  <c r="N10" i="12"/>
  <c r="P9" i="11"/>
  <c r="N21" i="12"/>
  <c r="R21" i="12"/>
  <c r="R13" i="12"/>
  <c r="N16" i="12"/>
  <c r="N13" i="12"/>
  <c r="N15" i="12"/>
  <c r="R16" i="12"/>
  <c r="R15" i="12"/>
  <c r="BD47" i="2"/>
  <c r="K9" i="9" s="1"/>
  <c r="N14" i="12"/>
  <c r="R14" i="12"/>
  <c r="BE47" i="6"/>
  <c r="Q9" i="10" s="1"/>
  <c r="BG46" i="6"/>
  <c r="O49" i="6"/>
  <c r="AJ48" i="6"/>
  <c r="AX48" i="6"/>
  <c r="L49" i="6"/>
  <c r="AG48" i="6"/>
  <c r="AU48" i="6"/>
  <c r="M49" i="6"/>
  <c r="AH48" i="6"/>
  <c r="AV48" i="6"/>
  <c r="N49" i="6"/>
  <c r="AI48" i="6"/>
  <c r="AW48" i="6"/>
  <c r="J49" i="6"/>
  <c r="AE48" i="6"/>
  <c r="AS48" i="6"/>
  <c r="K49" i="6"/>
  <c r="AF48" i="6"/>
  <c r="AT48" i="6"/>
  <c r="L49" i="2"/>
  <c r="O8" i="11"/>
  <c r="J49" i="2"/>
  <c r="BG46" i="2"/>
  <c r="M49" i="2"/>
  <c r="R8" i="12"/>
  <c r="E8" i="12"/>
  <c r="N8" i="12"/>
  <c r="K49" i="2"/>
  <c r="Q7" i="11"/>
  <c r="S7" i="11"/>
  <c r="O49" i="2"/>
  <c r="N49" i="2"/>
  <c r="N7" i="12"/>
  <c r="R7" i="12"/>
  <c r="R39" i="12" s="1"/>
  <c r="E7" i="12"/>
  <c r="G37" i="12" s="1"/>
  <c r="E9" i="13" s="1"/>
  <c r="BE47" i="2"/>
  <c r="L9" i="9" s="1"/>
  <c r="M9" i="9" l="1"/>
  <c r="N39" i="12"/>
  <c r="D24" i="13" s="1"/>
  <c r="J24" i="13"/>
  <c r="F21" i="12"/>
  <c r="C9" i="13" s="1"/>
  <c r="G7" i="12"/>
  <c r="G10" i="12"/>
  <c r="G19" i="12"/>
  <c r="G21" i="12"/>
  <c r="D9" i="13" s="1"/>
  <c r="G9" i="12"/>
  <c r="G20" i="12"/>
  <c r="G11" i="12"/>
  <c r="G8" i="12"/>
  <c r="AI49" i="2"/>
  <c r="AW49" i="2"/>
  <c r="AE49" i="2"/>
  <c r="AS49" i="2"/>
  <c r="AF49" i="2"/>
  <c r="AT49" i="2"/>
  <c r="AH49" i="2"/>
  <c r="AV49" i="2"/>
  <c r="AG49" i="2"/>
  <c r="AU49" i="2"/>
  <c r="AJ49" i="2"/>
  <c r="AX49" i="2"/>
  <c r="R38" i="12"/>
  <c r="I24" i="13" s="1"/>
  <c r="F7" i="12"/>
  <c r="N38" i="12"/>
  <c r="C24" i="13" s="1"/>
  <c r="G14" i="12"/>
  <c r="R37" i="12"/>
  <c r="H24" i="13" s="1"/>
  <c r="N37" i="12"/>
  <c r="B24" i="13" s="1"/>
  <c r="U8" i="12"/>
  <c r="W8" i="12" s="1"/>
  <c r="BG47" i="6"/>
  <c r="R8" i="10"/>
  <c r="F9" i="12"/>
  <c r="G13" i="12"/>
  <c r="F13" i="12"/>
  <c r="F20" i="12"/>
  <c r="G16" i="12"/>
  <c r="F10" i="12"/>
  <c r="G15" i="12"/>
  <c r="BD48" i="6"/>
  <c r="P10" i="10" s="1"/>
  <c r="AH49" i="6"/>
  <c r="M50" i="6"/>
  <c r="AV49" i="6"/>
  <c r="L50" i="6"/>
  <c r="AG49" i="6"/>
  <c r="AU49" i="6"/>
  <c r="J50" i="6"/>
  <c r="AE49" i="6"/>
  <c r="AS49" i="6"/>
  <c r="N50" i="6"/>
  <c r="AI49" i="6"/>
  <c r="AW49" i="6"/>
  <c r="AJ49" i="6"/>
  <c r="O50" i="6"/>
  <c r="AX49" i="6"/>
  <c r="AF49" i="6"/>
  <c r="K50" i="6"/>
  <c r="AT49" i="6"/>
  <c r="BE48" i="6"/>
  <c r="Q10" i="10" s="1"/>
  <c r="O50" i="2"/>
  <c r="J50" i="2"/>
  <c r="F8" i="12"/>
  <c r="U9" i="12"/>
  <c r="G17" i="12"/>
  <c r="F17" i="12"/>
  <c r="F14" i="12"/>
  <c r="F11" i="12"/>
  <c r="F18" i="12"/>
  <c r="F12" i="12"/>
  <c r="F19" i="12"/>
  <c r="N50" i="2"/>
  <c r="K50" i="2"/>
  <c r="BE48" i="2"/>
  <c r="L10" i="9" s="1"/>
  <c r="S8" i="11"/>
  <c r="Q8" i="11"/>
  <c r="BG47" i="2"/>
  <c r="L50" i="2"/>
  <c r="G18" i="12"/>
  <c r="F15" i="12"/>
  <c r="G12" i="12"/>
  <c r="F16" i="12"/>
  <c r="M50" i="2"/>
  <c r="BD48" i="2"/>
  <c r="K10" i="9" s="1"/>
  <c r="M10" i="9" l="1"/>
  <c r="T22" i="1"/>
  <c r="AF50" i="2"/>
  <c r="AT50" i="2"/>
  <c r="AE50" i="2"/>
  <c r="AS50" i="2"/>
  <c r="AJ50" i="2"/>
  <c r="AX50" i="2"/>
  <c r="AG50" i="2"/>
  <c r="AU50" i="2"/>
  <c r="AH50" i="2"/>
  <c r="AV50" i="2"/>
  <c r="AI50" i="2"/>
  <c r="AW50" i="2"/>
  <c r="O10" i="13"/>
  <c r="J9" i="13"/>
  <c r="P10" i="11"/>
  <c r="R9" i="10"/>
  <c r="O10" i="11"/>
  <c r="P11" i="11"/>
  <c r="AF50" i="6"/>
  <c r="K51" i="6"/>
  <c r="AT50" i="6"/>
  <c r="BD49" i="6"/>
  <c r="P11" i="10" s="1"/>
  <c r="BE49" i="6"/>
  <c r="Q11" i="10" s="1"/>
  <c r="AH50" i="6"/>
  <c r="M51" i="6"/>
  <c r="AV50" i="6"/>
  <c r="J51" i="6"/>
  <c r="AE50" i="6"/>
  <c r="AS50" i="6"/>
  <c r="AJ50" i="6"/>
  <c r="O51" i="6"/>
  <c r="AX50" i="6"/>
  <c r="N51" i="6"/>
  <c r="AI50" i="6"/>
  <c r="AW50" i="6"/>
  <c r="L51" i="6"/>
  <c r="AG50" i="6"/>
  <c r="AU50" i="6"/>
  <c r="BG48" i="6"/>
  <c r="BG48" i="2"/>
  <c r="S9" i="11"/>
  <c r="W9" i="12"/>
  <c r="Q9" i="11"/>
  <c r="BE49" i="2"/>
  <c r="L11" i="9" s="1"/>
  <c r="M51" i="2"/>
  <c r="N51" i="2"/>
  <c r="J51" i="2"/>
  <c r="O51" i="2"/>
  <c r="L51" i="2"/>
  <c r="K51" i="2"/>
  <c r="BD49" i="2"/>
  <c r="K11" i="9" s="1"/>
  <c r="K9" i="13"/>
  <c r="Q10" i="13"/>
  <c r="M11" i="9" l="1"/>
  <c r="AJ51" i="2"/>
  <c r="AX51" i="2"/>
  <c r="AE51" i="2"/>
  <c r="AS51" i="2"/>
  <c r="AF51" i="2"/>
  <c r="AT51" i="2"/>
  <c r="AI51" i="2"/>
  <c r="AW51" i="2"/>
  <c r="AG51" i="2"/>
  <c r="AU51" i="2"/>
  <c r="AH51" i="2"/>
  <c r="AV51" i="2"/>
  <c r="U10" i="12"/>
  <c r="W10" i="12" s="1"/>
  <c r="I9" i="13"/>
  <c r="P10" i="13"/>
  <c r="S10" i="11"/>
  <c r="P24" i="13"/>
  <c r="R10" i="10"/>
  <c r="BE50" i="6"/>
  <c r="Q12" i="10" s="1"/>
  <c r="Q10" i="11"/>
  <c r="BG49" i="6"/>
  <c r="AI51" i="6"/>
  <c r="N52" i="6"/>
  <c r="AW51" i="6"/>
  <c r="M52" i="6"/>
  <c r="AH51" i="6"/>
  <c r="AV51" i="6"/>
  <c r="AG51" i="6"/>
  <c r="L52" i="6"/>
  <c r="AU51" i="6"/>
  <c r="BD50" i="6"/>
  <c r="P12" i="10" s="1"/>
  <c r="K52" i="6"/>
  <c r="AF51" i="6"/>
  <c r="AT51" i="6"/>
  <c r="O52" i="6"/>
  <c r="AJ51" i="6"/>
  <c r="AX51" i="6"/>
  <c r="AE51" i="6"/>
  <c r="J52" i="6"/>
  <c r="AS51" i="6"/>
  <c r="O52" i="2"/>
  <c r="K52" i="2"/>
  <c r="M52" i="2"/>
  <c r="L52" i="2"/>
  <c r="BE50" i="2"/>
  <c r="L12" i="9" s="1"/>
  <c r="J52" i="2"/>
  <c r="BG49" i="2"/>
  <c r="BD50" i="2"/>
  <c r="K12" i="9" s="1"/>
  <c r="N52" i="2"/>
  <c r="O11" i="11"/>
  <c r="M12" i="9" l="1"/>
  <c r="AF52" i="2"/>
  <c r="AT52" i="2"/>
  <c r="AI52" i="2"/>
  <c r="AW52" i="2"/>
  <c r="AH52" i="2"/>
  <c r="AV52" i="2"/>
  <c r="AE52" i="2"/>
  <c r="AS52" i="2"/>
  <c r="AJ52" i="2"/>
  <c r="AX52" i="2"/>
  <c r="AG52" i="2"/>
  <c r="AU52" i="2"/>
  <c r="P12" i="11"/>
  <c r="R11" i="10"/>
  <c r="BE51" i="2"/>
  <c r="L13" i="9" s="1"/>
  <c r="BD51" i="2"/>
  <c r="K13" i="9" s="1"/>
  <c r="O53" i="6"/>
  <c r="AJ52" i="6"/>
  <c r="AX52" i="6"/>
  <c r="AI52" i="6"/>
  <c r="N53" i="6"/>
  <c r="AW52" i="6"/>
  <c r="BD51" i="6"/>
  <c r="P13" i="10" s="1"/>
  <c r="BE51" i="6"/>
  <c r="Q13" i="10" s="1"/>
  <c r="BG50" i="6"/>
  <c r="AG52" i="6"/>
  <c r="L53" i="6"/>
  <c r="AU52" i="6"/>
  <c r="M53" i="6"/>
  <c r="AH52" i="6"/>
  <c r="AV52" i="6"/>
  <c r="AE52" i="6"/>
  <c r="J53" i="6"/>
  <c r="AS52" i="6"/>
  <c r="K53" i="6"/>
  <c r="AF52" i="6"/>
  <c r="AT52" i="6"/>
  <c r="J53" i="2"/>
  <c r="L53" i="2"/>
  <c r="K53" i="2"/>
  <c r="M53" i="2"/>
  <c r="N53" i="2"/>
  <c r="O12" i="11"/>
  <c r="O53" i="2"/>
  <c r="S11" i="11"/>
  <c r="U11" i="12"/>
  <c r="W11" i="12" s="1"/>
  <c r="Q11" i="11"/>
  <c r="BG50" i="2"/>
  <c r="M13" i="9" l="1"/>
  <c r="AE53" i="2"/>
  <c r="AS53" i="2"/>
  <c r="AG53" i="2"/>
  <c r="AU53" i="2"/>
  <c r="AI53" i="2"/>
  <c r="AW53" i="2"/>
  <c r="AH53" i="2"/>
  <c r="AV53" i="2"/>
  <c r="AJ53" i="2"/>
  <c r="AX53" i="2"/>
  <c r="AF53" i="2"/>
  <c r="AT53" i="2"/>
  <c r="R12" i="10"/>
  <c r="P13" i="11"/>
  <c r="BG51" i="2"/>
  <c r="BG51" i="6"/>
  <c r="AE53" i="6"/>
  <c r="J54" i="6"/>
  <c r="AS53" i="6"/>
  <c r="M54" i="6"/>
  <c r="AH53" i="6"/>
  <c r="AV53" i="6"/>
  <c r="BD52" i="6"/>
  <c r="P14" i="10" s="1"/>
  <c r="BE52" i="6"/>
  <c r="Q14" i="10" s="1"/>
  <c r="AI53" i="6"/>
  <c r="N54" i="6"/>
  <c r="AW53" i="6"/>
  <c r="O54" i="6"/>
  <c r="AJ53" i="6"/>
  <c r="AX53" i="6"/>
  <c r="K54" i="6"/>
  <c r="AF53" i="6"/>
  <c r="AT53" i="6"/>
  <c r="AG53" i="6"/>
  <c r="L54" i="6"/>
  <c r="AU53" i="6"/>
  <c r="BD52" i="2"/>
  <c r="K14" i="9" s="1"/>
  <c r="N54" i="2"/>
  <c r="J54" i="2"/>
  <c r="O13" i="11"/>
  <c r="U12" i="12"/>
  <c r="W12" i="12" s="1"/>
  <c r="S12" i="11"/>
  <c r="Q12" i="11"/>
  <c r="K54" i="2"/>
  <c r="L54" i="2"/>
  <c r="O54" i="2"/>
  <c r="M54" i="2"/>
  <c r="BE52" i="2"/>
  <c r="L14" i="9" s="1"/>
  <c r="M14" i="9" l="1"/>
  <c r="AH54" i="2"/>
  <c r="AV54" i="2"/>
  <c r="AE54" i="2"/>
  <c r="AS54" i="2"/>
  <c r="AJ54" i="2"/>
  <c r="AX54" i="2"/>
  <c r="AI54" i="2"/>
  <c r="AW54" i="2"/>
  <c r="AG54" i="2"/>
  <c r="AU54" i="2"/>
  <c r="AF54" i="2"/>
  <c r="AT54" i="2"/>
  <c r="P15" i="11"/>
  <c r="P14" i="11"/>
  <c r="R13" i="10"/>
  <c r="O14" i="11"/>
  <c r="J55" i="6"/>
  <c r="AE54" i="6"/>
  <c r="AS54" i="6"/>
  <c r="BD53" i="6"/>
  <c r="P15" i="10" s="1"/>
  <c r="BE53" i="6"/>
  <c r="Q15" i="10" s="1"/>
  <c r="AJ54" i="6"/>
  <c r="O55" i="6"/>
  <c r="AX54" i="6"/>
  <c r="AH54" i="6"/>
  <c r="M55" i="6"/>
  <c r="AV54" i="6"/>
  <c r="N55" i="6"/>
  <c r="AI54" i="6"/>
  <c r="AW54" i="6"/>
  <c r="L55" i="6"/>
  <c r="AG54" i="6"/>
  <c r="AU54" i="6"/>
  <c r="AF54" i="6"/>
  <c r="K55" i="6"/>
  <c r="AT54" i="6"/>
  <c r="R14" i="10"/>
  <c r="BG52" i="6"/>
  <c r="M55" i="2"/>
  <c r="K55" i="2"/>
  <c r="BD53" i="2"/>
  <c r="K15" i="9" s="1"/>
  <c r="N55" i="2"/>
  <c r="L55" i="2"/>
  <c r="J55" i="2"/>
  <c r="BG52" i="2"/>
  <c r="BE53" i="2"/>
  <c r="L15" i="9" s="1"/>
  <c r="O55" i="2"/>
  <c r="U13" i="12"/>
  <c r="W13" i="12" s="1"/>
  <c r="S13" i="11"/>
  <c r="Q13" i="11"/>
  <c r="M15" i="9" l="1"/>
  <c r="AE55" i="2"/>
  <c r="AS55" i="2"/>
  <c r="AJ55" i="2"/>
  <c r="AX55" i="2"/>
  <c r="AF55" i="2"/>
  <c r="AT55" i="2"/>
  <c r="AG55" i="2"/>
  <c r="AU55" i="2"/>
  <c r="AH55" i="2"/>
  <c r="AV55" i="2"/>
  <c r="AI55" i="2"/>
  <c r="AW55" i="2"/>
  <c r="U14" i="12"/>
  <c r="W14" i="12" s="1"/>
  <c r="BE54" i="2"/>
  <c r="L16" i="9" s="1"/>
  <c r="Q14" i="11"/>
  <c r="S14" i="11"/>
  <c r="N56" i="6"/>
  <c r="AI55" i="6"/>
  <c r="AW55" i="6"/>
  <c r="BG53" i="6"/>
  <c r="AF55" i="6"/>
  <c r="K56" i="6"/>
  <c r="AT55" i="6"/>
  <c r="L56" i="6"/>
  <c r="AG55" i="6"/>
  <c r="AU55" i="6"/>
  <c r="AJ55" i="6"/>
  <c r="O56" i="6"/>
  <c r="AX55" i="6"/>
  <c r="AH55" i="6"/>
  <c r="M56" i="6"/>
  <c r="AV55" i="6"/>
  <c r="BD54" i="6"/>
  <c r="P16" i="10" s="1"/>
  <c r="BE54" i="6"/>
  <c r="Q16" i="10" s="1"/>
  <c r="J56" i="6"/>
  <c r="AE55" i="6"/>
  <c r="AS55" i="6"/>
  <c r="O56" i="2"/>
  <c r="L56" i="2"/>
  <c r="K56" i="2"/>
  <c r="BD54" i="2"/>
  <c r="K16" i="9" s="1"/>
  <c r="BG53" i="2"/>
  <c r="N56" i="2"/>
  <c r="J56" i="2"/>
  <c r="M56" i="2"/>
  <c r="O15" i="11"/>
  <c r="M16" i="9" l="1"/>
  <c r="AG56" i="2"/>
  <c r="AU56" i="2"/>
  <c r="AI56" i="2"/>
  <c r="AW56" i="2"/>
  <c r="AJ56" i="2"/>
  <c r="AX56" i="2"/>
  <c r="AH56" i="2"/>
  <c r="AV56" i="2"/>
  <c r="AE56" i="2"/>
  <c r="AS56" i="2"/>
  <c r="AF56" i="2"/>
  <c r="AT56" i="2"/>
  <c r="P16" i="11"/>
  <c r="R15" i="10"/>
  <c r="BD55" i="2"/>
  <c r="K17" i="9" s="1"/>
  <c r="AE56" i="6"/>
  <c r="J57" i="6"/>
  <c r="AS56" i="6"/>
  <c r="BE55" i="6"/>
  <c r="Q17" i="10" s="1"/>
  <c r="K57" i="6"/>
  <c r="AF56" i="6"/>
  <c r="AT56" i="6"/>
  <c r="M57" i="6"/>
  <c r="AH56" i="6"/>
  <c r="AV56" i="6"/>
  <c r="BG54" i="6"/>
  <c r="BD55" i="6"/>
  <c r="P17" i="10" s="1"/>
  <c r="AJ56" i="6"/>
  <c r="O57" i="6"/>
  <c r="AX56" i="6"/>
  <c r="AG56" i="6"/>
  <c r="L57" i="6"/>
  <c r="AU56" i="6"/>
  <c r="AI56" i="6"/>
  <c r="N57" i="6"/>
  <c r="AW56" i="6"/>
  <c r="O16" i="11"/>
  <c r="L57" i="2"/>
  <c r="K57" i="2"/>
  <c r="BE55" i="2"/>
  <c r="L17" i="9" s="1"/>
  <c r="N57" i="2"/>
  <c r="BG54" i="2"/>
  <c r="M57" i="2"/>
  <c r="S15" i="11"/>
  <c r="U15" i="12"/>
  <c r="W15" i="12" s="1"/>
  <c r="Q15" i="11"/>
  <c r="J57" i="2"/>
  <c r="O57" i="2"/>
  <c r="M17" i="9" l="1"/>
  <c r="AH57" i="2"/>
  <c r="AV57" i="2"/>
  <c r="AE57" i="2"/>
  <c r="AS57" i="2"/>
  <c r="AF57" i="2"/>
  <c r="AT57" i="2"/>
  <c r="AG57" i="2"/>
  <c r="AU57" i="2"/>
  <c r="AI57" i="2"/>
  <c r="AW57" i="2"/>
  <c r="AJ57" i="2"/>
  <c r="AX57" i="2"/>
  <c r="R16" i="10"/>
  <c r="P17" i="11"/>
  <c r="BG55" i="2"/>
  <c r="BE56" i="6"/>
  <c r="Q18" i="10" s="1"/>
  <c r="AJ57" i="6"/>
  <c r="O58" i="6"/>
  <c r="AX57" i="6"/>
  <c r="L58" i="6"/>
  <c r="AG57" i="6"/>
  <c r="AU57" i="6"/>
  <c r="J58" i="6"/>
  <c r="AE57" i="6"/>
  <c r="AS57" i="6"/>
  <c r="AH57" i="6"/>
  <c r="M58" i="6"/>
  <c r="AV57" i="6"/>
  <c r="N58" i="6"/>
  <c r="AI57" i="6"/>
  <c r="AW57" i="6"/>
  <c r="BG55" i="6"/>
  <c r="AF57" i="6"/>
  <c r="K58" i="6"/>
  <c r="AT57" i="6"/>
  <c r="BD56" i="6"/>
  <c r="P18" i="10" s="1"/>
  <c r="BD56" i="2"/>
  <c r="K18" i="9" s="1"/>
  <c r="N58" i="2"/>
  <c r="L58" i="2"/>
  <c r="K58" i="2"/>
  <c r="S16" i="11"/>
  <c r="U16" i="12"/>
  <c r="W16" i="12" s="1"/>
  <c r="Q16" i="11"/>
  <c r="J58" i="2"/>
  <c r="O58" i="2"/>
  <c r="BE56" i="2"/>
  <c r="L18" i="9" s="1"/>
  <c r="M58" i="2"/>
  <c r="O17" i="11"/>
  <c r="M18" i="9" l="1"/>
  <c r="AE58" i="2"/>
  <c r="AS58" i="2"/>
  <c r="AF58" i="2"/>
  <c r="AT58" i="2"/>
  <c r="AH58" i="2"/>
  <c r="AV58" i="2"/>
  <c r="AG58" i="2"/>
  <c r="AU58" i="2"/>
  <c r="AI58" i="2"/>
  <c r="AW58" i="2"/>
  <c r="AJ58" i="2"/>
  <c r="AX58" i="2"/>
  <c r="R17" i="10"/>
  <c r="P18" i="11"/>
  <c r="O18" i="11"/>
  <c r="P19" i="11"/>
  <c r="AF58" i="6"/>
  <c r="AT58" i="6"/>
  <c r="AH58" i="6"/>
  <c r="AV58" i="6"/>
  <c r="AE58" i="6"/>
  <c r="AS58" i="6"/>
  <c r="AJ58" i="6"/>
  <c r="AX58" i="6"/>
  <c r="R18" i="10"/>
  <c r="BG56" i="6"/>
  <c r="AI58" i="6"/>
  <c r="AW58" i="6"/>
  <c r="BE57" i="6"/>
  <c r="Q19" i="10" s="1"/>
  <c r="BD57" i="6"/>
  <c r="P19" i="10" s="1"/>
  <c r="AG58" i="6"/>
  <c r="AU58" i="6"/>
  <c r="M59" i="2"/>
  <c r="L59" i="2"/>
  <c r="U17" i="12"/>
  <c r="W17" i="12" s="1"/>
  <c r="S17" i="11"/>
  <c r="Q17" i="11"/>
  <c r="O59" i="2"/>
  <c r="J59" i="2"/>
  <c r="K59" i="2"/>
  <c r="BE57" i="2"/>
  <c r="L19" i="9" s="1"/>
  <c r="BD57" i="2"/>
  <c r="K19" i="9" s="1"/>
  <c r="N59" i="2"/>
  <c r="BG56" i="2"/>
  <c r="M19" i="9" l="1"/>
  <c r="Q18" i="11"/>
  <c r="S18" i="11"/>
  <c r="U18" i="12"/>
  <c r="W18" i="12" s="1"/>
  <c r="BD58" i="6"/>
  <c r="P20" i="10" s="1"/>
  <c r="BG57" i="6"/>
  <c r="BE58" i="6"/>
  <c r="Q20" i="10" s="1"/>
  <c r="BG57" i="2"/>
  <c r="BE58" i="2"/>
  <c r="L20" i="9" s="1"/>
  <c r="O19" i="11"/>
  <c r="BD58" i="2"/>
  <c r="K20" i="9" s="1"/>
  <c r="M20" i="9" l="1"/>
  <c r="R19" i="10"/>
  <c r="P20" i="11"/>
  <c r="BG58" i="6"/>
  <c r="O20" i="11"/>
  <c r="BG58" i="2"/>
  <c r="S19" i="11"/>
  <c r="U19" i="12"/>
  <c r="W19" i="12" s="1"/>
  <c r="Q19" i="11"/>
  <c r="R20" i="10" l="1"/>
  <c r="P21" i="11"/>
  <c r="S20" i="11"/>
  <c r="Q20" i="11"/>
  <c r="U20" i="12"/>
  <c r="W20" i="12" s="1"/>
  <c r="O21" i="11"/>
  <c r="U21" i="12" l="1"/>
  <c r="W21" i="12" s="1"/>
  <c r="V37" i="12" s="1"/>
  <c r="S21" i="11"/>
  <c r="Q21" i="11"/>
  <c r="R22" i="1" l="1"/>
  <c r="V38" i="12"/>
  <c r="S22" i="1" s="1"/>
  <c r="O24" i="13" l="1"/>
  <c r="N24" i="13"/>
</calcChain>
</file>

<file path=xl/sharedStrings.xml><?xml version="1.0" encoding="utf-8"?>
<sst xmlns="http://schemas.openxmlformats.org/spreadsheetml/2006/main" count="536" uniqueCount="163">
  <si>
    <t>DATOS BÁSICOS DE LA EVALUACIÓN</t>
  </si>
  <si>
    <t>TRAMOS</t>
  </si>
  <si>
    <t>TERRENO</t>
  </si>
  <si>
    <t>COMPOSICIÓN VEHICULAR (%)</t>
  </si>
  <si>
    <t>Automóvil
A</t>
  </si>
  <si>
    <t>Autobús
B</t>
  </si>
  <si>
    <t>Camión
C</t>
  </si>
  <si>
    <t>TIPO DE VÍA</t>
  </si>
  <si>
    <t>CARRILES</t>
  </si>
  <si>
    <t>TIPO PAVIMENTO</t>
  </si>
  <si>
    <t>CONDICION ACTUAL SIN PROYECTO</t>
  </si>
  <si>
    <t>CONDICION ACTUAL CON PROYECTO</t>
  </si>
  <si>
    <t>LONGITUD 
(Km)</t>
  </si>
  <si>
    <t>TDPA 
(veh/día)</t>
  </si>
  <si>
    <t>ANCHO 
(m)</t>
  </si>
  <si>
    <t>COSTO ECON. 
(mdp)</t>
  </si>
  <si>
    <t>CRECIMIENTO ANUAL 
(%)</t>
  </si>
  <si>
    <t>TERRENO
(p,l,m)</t>
  </si>
  <si>
    <t>P</t>
  </si>
  <si>
    <t>C</t>
  </si>
  <si>
    <t>Asfalto</t>
  </si>
  <si>
    <t>A</t>
  </si>
  <si>
    <t>TIR</t>
  </si>
  <si>
    <t>VPN</t>
  </si>
  <si>
    <t>TRI</t>
  </si>
  <si>
    <t>CARACTERISTICAS GEOMETRICAS</t>
  </si>
  <si>
    <t>LONGITUD</t>
  </si>
  <si>
    <t>TDPA</t>
  </si>
  <si>
    <t>A%</t>
  </si>
  <si>
    <t>B%</t>
  </si>
  <si>
    <t>C%</t>
  </si>
  <si>
    <t>(p, l, m)</t>
  </si>
  <si>
    <t>CRECIMIENTO</t>
  </si>
  <si>
    <t>IRI</t>
  </si>
  <si>
    <t>CONFIGURACION VALOR DEL TIEMPO</t>
  </si>
  <si>
    <t>Valor del tiempo viaje de trabajo</t>
  </si>
  <si>
    <t>$/hr</t>
  </si>
  <si>
    <t>Valor del tiempo viaje de placer</t>
  </si>
  <si>
    <t>% de viajeros por motivo de trabajo</t>
  </si>
  <si>
    <t>Número de pasajeros auto</t>
  </si>
  <si>
    <t>pas/veh</t>
  </si>
  <si>
    <t>Número de pasajeros autobus</t>
  </si>
  <si>
    <t>Valor tiempo de la carga</t>
  </si>
  <si>
    <t>$/hr/ton</t>
  </si>
  <si>
    <t>Toneladas promedio</t>
  </si>
  <si>
    <t>ton/veh</t>
  </si>
  <si>
    <t>Tasa de Descuento</t>
  </si>
  <si>
    <t>CONFIGURACION COSTOS DE CONSERVACION</t>
  </si>
  <si>
    <t>Conservación normal</t>
  </si>
  <si>
    <t>$/km/carril</t>
  </si>
  <si>
    <t>Riego de sello</t>
  </si>
  <si>
    <t>Sobrecarpeta</t>
  </si>
  <si>
    <t>Reconstrucción</t>
  </si>
  <si>
    <t>Número de carriles</t>
  </si>
  <si>
    <t>Regresar a la pagina principal.</t>
  </si>
  <si>
    <t>veh.</t>
  </si>
  <si>
    <t>km.</t>
  </si>
  <si>
    <t>N/A</t>
  </si>
  <si>
    <t>Metros</t>
  </si>
  <si>
    <t>AÑO</t>
  </si>
  <si>
    <t>B</t>
  </si>
  <si>
    <t>TRANSITO (veh/día)</t>
  </si>
  <si>
    <t>VELOCIDAD DE OPERACIÓN (km/hr)</t>
  </si>
  <si>
    <t>COSTO DE OPERACIÓN VEHÍCULAR ($/km)</t>
  </si>
  <si>
    <t>COSTO TOTALES DE OPERACIÓN (mpd)</t>
  </si>
  <si>
    <t>*mpd</t>
  </si>
  <si>
    <t>Miles de pesos al día</t>
  </si>
  <si>
    <t>TIEMPO DE RECORRIDO (horas)</t>
  </si>
  <si>
    <t>RUTINARIA</t>
  </si>
  <si>
    <t>RECONSTRUCCIÓN</t>
  </si>
  <si>
    <t>**mpa</t>
  </si>
  <si>
    <t>Miles de pesos al año</t>
  </si>
  <si>
    <t>COSTO TIEMPO DE RECORRIDO (*mpd)</t>
  </si>
  <si>
    <t>COSTO DE MANTENIMIENTO (**mpa)</t>
  </si>
  <si>
    <t>COSTOS TOTALES (**mpa)</t>
  </si>
  <si>
    <t>COV</t>
  </si>
  <si>
    <t>TIEMPO</t>
  </si>
  <si>
    <t>CONSERVACIÓN</t>
  </si>
  <si>
    <t>TOTAL</t>
  </si>
  <si>
    <t>PERIODICA</t>
  </si>
  <si>
    <t>CONSERVACION</t>
  </si>
  <si>
    <t>COSTOS TOTALES CON PROYECTO (miles de pesos/año)</t>
  </si>
  <si>
    <t>COSTOS TOTALES SIN PROYECTO (miles de pesos/año)</t>
  </si>
  <si>
    <t>AHORRO (miles de pesos/año)</t>
  </si>
  <si>
    <t>CON PROYECTO</t>
  </si>
  <si>
    <t>BENEFICIOS</t>
  </si>
  <si>
    <t>INDICADORES</t>
  </si>
  <si>
    <t>AHORROS</t>
  </si>
  <si>
    <t>INVERSIÓN Y COSTOS</t>
  </si>
  <si>
    <t>BENEFICIOS ADICIONALES</t>
  </si>
  <si>
    <t>BENEFICIOS TOTALES</t>
  </si>
  <si>
    <t>TIR (%)</t>
  </si>
  <si>
    <t>INDICADORES  (miles de pesos)</t>
  </si>
  <si>
    <t>FLUJO SOCIO ECONÓMICO</t>
  </si>
  <si>
    <t>TRI (%)</t>
  </si>
  <si>
    <t>A la Página Principal.</t>
  </si>
  <si>
    <t>VARIACION DEL</t>
  </si>
  <si>
    <t>TIR(%)</t>
  </si>
  <si>
    <t>TRI(%)</t>
  </si>
  <si>
    <t>TASA DE VARIACIÓN</t>
  </si>
  <si>
    <t>INVERSIÓN</t>
  </si>
  <si>
    <t>+ 40%</t>
  </si>
  <si>
    <t>+ 30%</t>
  </si>
  <si>
    <t>+ 20%</t>
  </si>
  <si>
    <t>+ 10%</t>
  </si>
  <si>
    <t>SIN VARIACIÓN</t>
  </si>
  <si>
    <t>- 10%</t>
  </si>
  <si>
    <t>- 20%</t>
  </si>
  <si>
    <t>- 30%</t>
  </si>
  <si>
    <t>- 40%</t>
  </si>
  <si>
    <t>TABLA DE CALCULO</t>
  </si>
  <si>
    <t>VARIACIÓN EN MONTO DE INVERSION</t>
  </si>
  <si>
    <t>*MONTO EN MILLONES DE PESOS</t>
  </si>
  <si>
    <t>VPN*</t>
  </si>
  <si>
    <t>INVERSION</t>
  </si>
  <si>
    <t>VARIACIÓN EN DEMANDA (TDPA)</t>
  </si>
  <si>
    <t>VARIACIÓN EN CONSERVACION Y MTTO</t>
  </si>
  <si>
    <t>VARIACION</t>
  </si>
  <si>
    <t>VARIACIÓN INV</t>
  </si>
  <si>
    <t>VARIACIÓN COSTOS</t>
  </si>
  <si>
    <t>VARIACION DEMANDA</t>
  </si>
  <si>
    <t>VARIACION DEMANDA COSTOS TOTALES (**mpa)</t>
  </si>
  <si>
    <t>VARIACION DEMANDAD (tdpa)</t>
  </si>
  <si>
    <t>VAC</t>
  </si>
  <si>
    <t>SITUACIÓN SIN PROYECTO</t>
  </si>
  <si>
    <t>SITUACIÓN CON PROYECTO</t>
  </si>
  <si>
    <t>CGV</t>
  </si>
  <si>
    <t>CAE MTTO</t>
  </si>
  <si>
    <t>CTO TOTAL</t>
  </si>
  <si>
    <t>FLUJO</t>
  </si>
  <si>
    <t>VAN</t>
  </si>
  <si>
    <t>INICIO DE OPERACIONES</t>
  </si>
  <si>
    <t>INICIO DE CONSTRUCCIÓN</t>
  </si>
  <si>
    <t>VARIACIÓN EN LA INVERSIÓN
(millones de pesos).</t>
  </si>
  <si>
    <t>Valor del tiempo viaje de trabajo 2018</t>
  </si>
  <si>
    <t>Valor del tiempo viaje de placer 2018</t>
  </si>
  <si>
    <t xml:space="preserve"> </t>
  </si>
  <si>
    <t>Siglo XXI - Concordia</t>
  </si>
  <si>
    <t>Concordia - Siglo XXI</t>
  </si>
  <si>
    <r>
      <t xml:space="preserve"> VARIACIÓN EN CONSERVACIÓN Y MANTENIMIENTO
</t>
    </r>
    <r>
      <rPr>
        <sz val="12"/>
        <rFont val="Calibri"/>
        <family val="2"/>
        <scheme val="minor"/>
      </rPr>
      <t>(millones de pesos).</t>
    </r>
  </si>
  <si>
    <r>
      <t>VARIACIÓN DE LA DEMANDA (TDPA)</t>
    </r>
    <r>
      <rPr>
        <sz val="12"/>
        <rFont val="Calibri"/>
        <family val="2"/>
        <scheme val="minor"/>
      </rPr>
      <t xml:space="preserve"> 
(millones de pesos).</t>
    </r>
  </si>
  <si>
    <t>Concordia- Siglo XXI</t>
  </si>
  <si>
    <t>Avenida Siglo XXI</t>
  </si>
  <si>
    <t>Inversión en 1 año</t>
  </si>
  <si>
    <t xml:space="preserve">Av. Crecer en Grande </t>
  </si>
  <si>
    <t xml:space="preserve">Av.Crecer en Grande </t>
  </si>
  <si>
    <t>Av.Crecer en Grande</t>
  </si>
  <si>
    <t>Av. Crecer en Grande</t>
  </si>
  <si>
    <t>Av. Crecer en grande</t>
  </si>
  <si>
    <t>COSTO DE OPORTUNIDAD</t>
  </si>
  <si>
    <t>EN 2019</t>
  </si>
  <si>
    <t xml:space="preserve"> PERIFERICO</t>
  </si>
  <si>
    <t>SIGLO XXI</t>
  </si>
  <si>
    <t>Miles de pesos</t>
  </si>
  <si>
    <t xml:space="preserve">Avenida Crecer en Grande </t>
  </si>
  <si>
    <t>Siglo XXI- Concordia</t>
  </si>
  <si>
    <t>AÑO 2020</t>
  </si>
  <si>
    <t>Siglo XXI</t>
  </si>
  <si>
    <t>Periferico</t>
  </si>
  <si>
    <t>Concordia-Siglo XXI</t>
  </si>
  <si>
    <t>Siglo XXI-Concordia</t>
  </si>
  <si>
    <t>AV.SIGLO XXI</t>
  </si>
  <si>
    <t>AV. SIGLO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</si>
</sst>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_-[$€-2]* #,##0.00_-;\-[$€-2]* #,##0.00_-;_-[$€-2]* &quot;-&quot;??_-"/>
    <numFmt numFmtId="169" formatCode="_-* #,##0.000_-;\-* #,##0.000_-;_-* &quot;-&quot;??_-;_-@_-"/>
    <numFmt numFmtId="170" formatCode="&quot;$&quot;#,##0.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  <font>
      <b/>
      <i/>
      <u/>
      <sz val="8"/>
      <color indexed="12"/>
      <name val="Arial"/>
      <family val="2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8"/>
      <color theme="9" tint="-0.249977111117893"/>
      <name val="Arial"/>
      <family val="2"/>
    </font>
    <font>
      <sz val="9"/>
      <name val="Arial"/>
      <family val="2"/>
    </font>
    <font>
      <sz val="8"/>
      <color theme="9" tint="-0.249977111117893"/>
      <name val="Arial"/>
      <family val="2"/>
    </font>
    <font>
      <b/>
      <i/>
      <u/>
      <sz val="8"/>
      <color theme="9" tint="-0.249977111117893"/>
      <name val="Arial"/>
      <family val="2"/>
    </font>
    <font>
      <u/>
      <sz val="10"/>
      <color theme="9" tint="-0.249977111117893"/>
      <name val="Arial"/>
      <family val="2"/>
    </font>
    <font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thick">
        <color auto="1"/>
      </left>
      <right style="hair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auto="1"/>
      </left>
      <right style="hair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ck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top"/>
    </xf>
    <xf numFmtId="0" fontId="32" fillId="0" borderId="0">
      <alignment vertical="top"/>
    </xf>
  </cellStyleXfs>
  <cellXfs count="405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0" xfId="0" applyBorder="1"/>
    <xf numFmtId="0" fontId="4" fillId="0" borderId="8" xfId="0" applyFont="1" applyBorder="1" applyAlignment="1">
      <alignment horizontal="center" vertical="center" wrapText="1"/>
    </xf>
    <xf numFmtId="0" fontId="0" fillId="0" borderId="10" xfId="0" applyBorder="1"/>
    <xf numFmtId="0" fontId="0" fillId="0" borderId="19" xfId="0" applyBorder="1"/>
    <xf numFmtId="0" fontId="0" fillId="0" borderId="22" xfId="0" applyBorder="1"/>
    <xf numFmtId="2" fontId="0" fillId="0" borderId="22" xfId="0" applyNumberFormat="1" applyBorder="1"/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43" fontId="0" fillId="0" borderId="0" xfId="0" applyNumberFormat="1" applyFill="1" applyBorder="1"/>
    <xf numFmtId="43" fontId="0" fillId="0" borderId="0" xfId="0" applyNumberFormat="1" applyFill="1"/>
    <xf numFmtId="43" fontId="0" fillId="0" borderId="0" xfId="1" applyFont="1" applyFill="1" applyBorder="1"/>
    <xf numFmtId="43" fontId="0" fillId="0" borderId="0" xfId="1" applyFont="1" applyFill="1"/>
    <xf numFmtId="0" fontId="0" fillId="0" borderId="0" xfId="0" applyFill="1"/>
    <xf numFmtId="0" fontId="8" fillId="0" borderId="9" xfId="3" applyFont="1" applyBorder="1"/>
    <xf numFmtId="0" fontId="8" fillId="0" borderId="0" xfId="3" applyFont="1" applyBorder="1"/>
    <xf numFmtId="0" fontId="8" fillId="0" borderId="0" xfId="3" applyFont="1" applyBorder="1" applyAlignment="1">
      <alignment horizontal="right"/>
    </xf>
    <xf numFmtId="0" fontId="8" fillId="0" borderId="17" xfId="3" applyFont="1" applyBorder="1" applyAlignment="1">
      <alignment horizontal="right"/>
    </xf>
    <xf numFmtId="0" fontId="8" fillId="0" borderId="9" xfId="3" applyFont="1" applyBorder="1" applyAlignment="1">
      <alignment horizontal="right"/>
    </xf>
    <xf numFmtId="0" fontId="8" fillId="0" borderId="17" xfId="3" applyFont="1" applyBorder="1"/>
    <xf numFmtId="167" fontId="11" fillId="0" borderId="0" xfId="8" applyNumberFormat="1" applyFont="1" applyBorder="1"/>
    <xf numFmtId="2" fontId="11" fillId="0" borderId="9" xfId="3" applyNumberFormat="1" applyFont="1" applyBorder="1"/>
    <xf numFmtId="0" fontId="7" fillId="0" borderId="0" xfId="3" applyBorder="1"/>
    <xf numFmtId="0" fontId="7" fillId="0" borderId="20" xfId="3" applyBorder="1"/>
    <xf numFmtId="0" fontId="7" fillId="0" borderId="9" xfId="3" applyBorder="1"/>
    <xf numFmtId="0" fontId="7" fillId="0" borderId="21" xfId="3" applyBorder="1"/>
    <xf numFmtId="0" fontId="7" fillId="0" borderId="12" xfId="3" applyBorder="1"/>
    <xf numFmtId="0" fontId="7" fillId="0" borderId="13" xfId="3" applyBorder="1"/>
    <xf numFmtId="0" fontId="8" fillId="0" borderId="0" xfId="3" applyFont="1" applyBorder="1" applyAlignment="1">
      <alignment horizontal="left"/>
    </xf>
    <xf numFmtId="0" fontId="7" fillId="0" borderId="16" xfId="3" applyBorder="1"/>
    <xf numFmtId="0" fontId="7" fillId="0" borderId="17" xfId="3" applyBorder="1"/>
    <xf numFmtId="0" fontId="7" fillId="0" borderId="18" xfId="3" applyBorder="1"/>
    <xf numFmtId="0" fontId="8" fillId="0" borderId="18" xfId="3" applyFont="1" applyBorder="1" applyAlignment="1">
      <alignment horizontal="center"/>
    </xf>
    <xf numFmtId="3" fontId="8" fillId="0" borderId="0" xfId="3" applyNumberFormat="1" applyFont="1" applyBorder="1" applyAlignment="1">
      <alignment horizontal="center"/>
    </xf>
    <xf numFmtId="10" fontId="11" fillId="0" borderId="13" xfId="3" applyNumberFormat="1" applyFont="1" applyBorder="1"/>
    <xf numFmtId="2" fontId="11" fillId="0" borderId="17" xfId="12" applyNumberFormat="1" applyFont="1" applyBorder="1" applyAlignment="1">
      <alignment horizontal="center"/>
    </xf>
    <xf numFmtId="9" fontId="11" fillId="0" borderId="0" xfId="12" applyNumberFormat="1" applyFont="1" applyBorder="1" applyAlignment="1">
      <alignment horizontal="center" vertical="center"/>
    </xf>
    <xf numFmtId="0" fontId="8" fillId="0" borderId="0" xfId="3" applyFont="1" applyBorder="1" applyAlignment="1">
      <alignment horizontal="right" vertical="center"/>
    </xf>
    <xf numFmtId="10" fontId="11" fillId="0" borderId="0" xfId="12" applyNumberFormat="1" applyFont="1" applyBorder="1" applyAlignment="1">
      <alignment horizontal="center"/>
    </xf>
    <xf numFmtId="9" fontId="11" fillId="0" borderId="17" xfId="12" applyFont="1" applyBorder="1" applyAlignment="1">
      <alignment horizontal="center" vertical="center"/>
    </xf>
    <xf numFmtId="0" fontId="8" fillId="0" borderId="9" xfId="3" applyFont="1" applyBorder="1" applyAlignment="1">
      <alignment horizontal="right" vertical="center"/>
    </xf>
    <xf numFmtId="0" fontId="8" fillId="0" borderId="17" xfId="3" applyFont="1" applyBorder="1" applyAlignment="1">
      <alignment horizontal="right" vertical="center"/>
    </xf>
    <xf numFmtId="2" fontId="11" fillId="0" borderId="17" xfId="3" applyNumberFormat="1" applyFont="1" applyBorder="1"/>
    <xf numFmtId="2" fontId="11" fillId="0" borderId="9" xfId="3" quotePrefix="1" applyNumberFormat="1" applyFont="1" applyBorder="1" applyAlignment="1">
      <alignment vertical="center"/>
    </xf>
    <xf numFmtId="166" fontId="11" fillId="0" borderId="0" xfId="3" applyNumberFormat="1" applyFont="1" applyBorder="1" applyAlignment="1">
      <alignment horizontal="right" vertical="center"/>
    </xf>
    <xf numFmtId="2" fontId="11" fillId="0" borderId="0" xfId="3" applyNumberFormat="1" applyFont="1" applyBorder="1" applyAlignment="1">
      <alignment vertical="center"/>
    </xf>
    <xf numFmtId="2" fontId="11" fillId="0" borderId="0" xfId="3" applyNumberFormat="1" applyFont="1" applyBorder="1" applyAlignment="1">
      <alignment horizontal="right" vertical="center"/>
    </xf>
    <xf numFmtId="165" fontId="11" fillId="0" borderId="9" xfId="10" applyNumberFormat="1" applyFont="1" applyBorder="1"/>
    <xf numFmtId="165" fontId="11" fillId="0" borderId="0" xfId="10" applyNumberFormat="1" applyFont="1" applyBorder="1"/>
    <xf numFmtId="0" fontId="0" fillId="0" borderId="0" xfId="0"/>
    <xf numFmtId="43" fontId="14" fillId="0" borderId="0" xfId="1" applyFont="1"/>
    <xf numFmtId="164" fontId="14" fillId="0" borderId="0" xfId="1" applyNumberFormat="1" applyFont="1"/>
    <xf numFmtId="164" fontId="14" fillId="0" borderId="34" xfId="1" applyNumberFormat="1" applyFont="1" applyBorder="1"/>
    <xf numFmtId="164" fontId="14" fillId="0" borderId="35" xfId="1" applyNumberFormat="1" applyFont="1" applyBorder="1"/>
    <xf numFmtId="164" fontId="14" fillId="0" borderId="36" xfId="1" applyNumberFormat="1" applyFont="1" applyBorder="1"/>
    <xf numFmtId="164" fontId="9" fillId="2" borderId="29" xfId="1" applyNumberFormat="1" applyFont="1" applyFill="1" applyBorder="1"/>
    <xf numFmtId="164" fontId="9" fillId="2" borderId="30" xfId="1" applyNumberFormat="1" applyFont="1" applyFill="1" applyBorder="1"/>
    <xf numFmtId="164" fontId="9" fillId="2" borderId="31" xfId="1" applyNumberFormat="1" applyFont="1" applyFill="1" applyBorder="1"/>
    <xf numFmtId="164" fontId="9" fillId="2" borderId="32" xfId="1" applyNumberFormat="1" applyFont="1" applyFill="1" applyBorder="1"/>
    <xf numFmtId="164" fontId="9" fillId="2" borderId="33" xfId="1" applyNumberFormat="1" applyFont="1" applyFill="1" applyBorder="1"/>
    <xf numFmtId="0" fontId="0" fillId="2" borderId="0" xfId="0" applyFill="1" applyAlignment="1">
      <alignment horizontal="center"/>
    </xf>
    <xf numFmtId="0" fontId="17" fillId="0" borderId="0" xfId="0" applyFont="1" applyAlignment="1">
      <alignment horizontal="right"/>
    </xf>
    <xf numFmtId="0" fontId="16" fillId="0" borderId="0" xfId="0" applyFont="1"/>
    <xf numFmtId="164" fontId="14" fillId="0" borderId="37" xfId="1" applyNumberFormat="1" applyFont="1" applyBorder="1"/>
    <xf numFmtId="0" fontId="17" fillId="0" borderId="0" xfId="0" applyFont="1" applyAlignment="1">
      <alignment horizontal="right" vertical="center"/>
    </xf>
    <xf numFmtId="43" fontId="9" fillId="2" borderId="29" xfId="1" applyNumberFormat="1" applyFont="1" applyFill="1" applyBorder="1"/>
    <xf numFmtId="43" fontId="14" fillId="0" borderId="0" xfId="1" applyNumberFormat="1" applyFont="1"/>
    <xf numFmtId="43" fontId="14" fillId="0" borderId="34" xfId="1" applyNumberFormat="1" applyFont="1" applyBorder="1"/>
    <xf numFmtId="43" fontId="14" fillId="0" borderId="35" xfId="1" applyNumberFormat="1" applyFont="1" applyBorder="1"/>
    <xf numFmtId="43" fontId="14" fillId="0" borderId="36" xfId="1" applyNumberFormat="1" applyFont="1" applyBorder="1"/>
    <xf numFmtId="43" fontId="9" fillId="2" borderId="30" xfId="1" applyNumberFormat="1" applyFont="1" applyFill="1" applyBorder="1"/>
    <xf numFmtId="43" fontId="9" fillId="2" borderId="31" xfId="1" applyNumberFormat="1" applyFont="1" applyFill="1" applyBorder="1"/>
    <xf numFmtId="43" fontId="9" fillId="2" borderId="32" xfId="1" applyNumberFormat="1" applyFont="1" applyFill="1" applyBorder="1"/>
    <xf numFmtId="43" fontId="9" fillId="2" borderId="33" xfId="1" applyNumberFormat="1" applyFont="1" applyFill="1" applyBorder="1"/>
    <xf numFmtId="43" fontId="14" fillId="0" borderId="22" xfId="1" applyFont="1" applyBorder="1"/>
    <xf numFmtId="43" fontId="14" fillId="0" borderId="37" xfId="1" applyNumberFormat="1" applyFont="1" applyBorder="1"/>
    <xf numFmtId="4" fontId="14" fillId="2" borderId="0" xfId="0" applyNumberFormat="1" applyFont="1" applyFill="1"/>
    <xf numFmtId="4" fontId="14" fillId="2" borderId="22" xfId="0" applyNumberFormat="1" applyFont="1" applyFill="1" applyBorder="1"/>
    <xf numFmtId="4" fontId="14" fillId="0" borderId="0" xfId="0" applyNumberFormat="1" applyFont="1"/>
    <xf numFmtId="4" fontId="14" fillId="0" borderId="22" xfId="0" applyNumberFormat="1" applyFont="1" applyBorder="1"/>
    <xf numFmtId="0" fontId="6" fillId="0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/>
    </xf>
    <xf numFmtId="43" fontId="18" fillId="0" borderId="0" xfId="0" applyNumberFormat="1" applyFont="1"/>
    <xf numFmtId="43" fontId="18" fillId="0" borderId="0" xfId="0" applyNumberFormat="1" applyFont="1" applyFill="1"/>
    <xf numFmtId="167" fontId="18" fillId="0" borderId="0" xfId="0" applyNumberFormat="1" applyFont="1" applyFill="1"/>
    <xf numFmtId="167" fontId="0" fillId="0" borderId="0" xfId="0" applyNumberFormat="1"/>
    <xf numFmtId="165" fontId="18" fillId="0" borderId="0" xfId="0" applyNumberFormat="1" applyFont="1"/>
    <xf numFmtId="165" fontId="18" fillId="0" borderId="0" xfId="0" applyNumberFormat="1" applyFont="1" applyFill="1"/>
    <xf numFmtId="0" fontId="0" fillId="0" borderId="0" xfId="0" applyAlignment="1">
      <alignment horizontal="right"/>
    </xf>
    <xf numFmtId="9" fontId="18" fillId="0" borderId="0" xfId="0" applyNumberFormat="1" applyFont="1"/>
    <xf numFmtId="10" fontId="18" fillId="0" borderId="0" xfId="0" applyNumberFormat="1" applyFont="1" applyAlignment="1">
      <alignment horizontal="center"/>
    </xf>
    <xf numFmtId="0" fontId="0" fillId="0" borderId="0" xfId="0" applyAlignment="1"/>
    <xf numFmtId="0" fontId="19" fillId="0" borderId="11" xfId="0" applyFont="1" applyBorder="1"/>
    <xf numFmtId="164" fontId="19" fillId="0" borderId="0" xfId="1" applyNumberFormat="1" applyFont="1" applyBorder="1"/>
    <xf numFmtId="0" fontId="19" fillId="0" borderId="22" xfId="0" applyFont="1" applyBorder="1" applyAlignment="1">
      <alignment horizontal="center" vertical="center"/>
    </xf>
    <xf numFmtId="9" fontId="19" fillId="0" borderId="12" xfId="2" applyFont="1" applyBorder="1" applyAlignment="1">
      <alignment horizontal="center" vertical="center"/>
    </xf>
    <xf numFmtId="9" fontId="19" fillId="0" borderId="7" xfId="2" applyFont="1" applyBorder="1" applyAlignment="1">
      <alignment horizontal="center" vertical="center"/>
    </xf>
    <xf numFmtId="9" fontId="19" fillId="0" borderId="13" xfId="2" applyFont="1" applyBorder="1" applyAlignment="1">
      <alignment horizontal="center" vertical="center"/>
    </xf>
    <xf numFmtId="10" fontId="19" fillId="0" borderId="0" xfId="0" applyNumberFormat="1" applyFont="1" applyBorder="1" applyAlignment="1">
      <alignment horizontal="center" vertical="center"/>
    </xf>
    <xf numFmtId="1" fontId="19" fillId="0" borderId="0" xfId="1" applyNumberFormat="1" applyFont="1" applyFill="1" applyBorder="1" applyAlignment="1">
      <alignment horizontal="center" vertical="center"/>
    </xf>
    <xf numFmtId="2" fontId="19" fillId="0" borderId="22" xfId="1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2" xfId="0" applyFont="1" applyBorder="1"/>
    <xf numFmtId="0" fontId="19" fillId="0" borderId="22" xfId="0" applyFont="1" applyBorder="1"/>
    <xf numFmtId="0" fontId="19" fillId="0" borderId="0" xfId="0" applyFont="1" applyBorder="1"/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" fontId="19" fillId="0" borderId="0" xfId="1" applyNumberFormat="1" applyFont="1" applyBorder="1" applyAlignment="1">
      <alignment horizontal="center" vertical="center"/>
    </xf>
    <xf numFmtId="0" fontId="19" fillId="0" borderId="0" xfId="0" applyFont="1"/>
    <xf numFmtId="0" fontId="0" fillId="0" borderId="0" xfId="0"/>
    <xf numFmtId="0" fontId="22" fillId="0" borderId="0" xfId="0" applyFont="1"/>
    <xf numFmtId="0" fontId="24" fillId="0" borderId="0" xfId="0" applyFont="1"/>
    <xf numFmtId="9" fontId="24" fillId="0" borderId="38" xfId="0" quotePrefix="1" applyNumberFormat="1" applyFont="1" applyBorder="1" applyAlignment="1">
      <alignment horizontal="center"/>
    </xf>
    <xf numFmtId="8" fontId="24" fillId="0" borderId="38" xfId="0" applyNumberFormat="1" applyFont="1" applyBorder="1" applyAlignment="1">
      <alignment horizontal="center" vertical="center"/>
    </xf>
    <xf numFmtId="10" fontId="24" fillId="0" borderId="38" xfId="0" applyNumberFormat="1" applyFont="1" applyBorder="1" applyAlignment="1">
      <alignment horizontal="center" vertical="center"/>
    </xf>
    <xf numFmtId="9" fontId="24" fillId="0" borderId="0" xfId="0" quotePrefix="1" applyNumberFormat="1" applyFont="1" applyBorder="1" applyAlignment="1">
      <alignment horizontal="center"/>
    </xf>
    <xf numFmtId="8" fontId="24" fillId="0" borderId="0" xfId="0" applyNumberFormat="1" applyFont="1" applyBorder="1" applyAlignment="1">
      <alignment horizontal="center" vertical="center"/>
    </xf>
    <xf numFmtId="10" fontId="2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9" fontId="25" fillId="0" borderId="3" xfId="0" applyNumberFormat="1" applyFont="1" applyBorder="1" applyAlignment="1">
      <alignment horizontal="center"/>
    </xf>
    <xf numFmtId="8" fontId="25" fillId="0" borderId="3" xfId="0" applyNumberFormat="1" applyFont="1" applyBorder="1" applyAlignment="1">
      <alignment horizontal="center"/>
    </xf>
    <xf numFmtId="10" fontId="25" fillId="0" borderId="3" xfId="0" applyNumberFormat="1" applyFont="1" applyBorder="1" applyAlignment="1">
      <alignment horizontal="center"/>
    </xf>
    <xf numFmtId="0" fontId="26" fillId="0" borderId="3" xfId="0" applyFont="1" applyBorder="1"/>
    <xf numFmtId="9" fontId="24" fillId="0" borderId="5" xfId="0" quotePrefix="1" applyNumberFormat="1" applyFont="1" applyBorder="1" applyAlignment="1">
      <alignment horizontal="center"/>
    </xf>
    <xf numFmtId="8" fontId="24" fillId="0" borderId="5" xfId="0" applyNumberFormat="1" applyFont="1" applyBorder="1" applyAlignment="1">
      <alignment horizontal="center" vertical="center"/>
    </xf>
    <xf numFmtId="10" fontId="24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0" xfId="0" applyFont="1"/>
    <xf numFmtId="0" fontId="18" fillId="0" borderId="0" xfId="0" applyFont="1" applyAlignment="1">
      <alignment horizontal="center" vertical="center"/>
    </xf>
    <xf numFmtId="165" fontId="18" fillId="0" borderId="0" xfId="0" applyNumberFormat="1" applyFont="1"/>
    <xf numFmtId="170" fontId="25" fillId="0" borderId="3" xfId="13" applyNumberFormat="1" applyFont="1" applyBorder="1" applyAlignment="1">
      <alignment horizontal="center" vertical="center"/>
    </xf>
    <xf numFmtId="10" fontId="25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9" fillId="0" borderId="0" xfId="0" applyFont="1" applyFill="1" applyBorder="1"/>
    <xf numFmtId="170" fontId="24" fillId="0" borderId="0" xfId="0" applyNumberFormat="1" applyFont="1" applyBorder="1" applyAlignment="1">
      <alignment horizontal="center" vertical="center"/>
    </xf>
    <xf numFmtId="0" fontId="28" fillId="0" borderId="0" xfId="0" applyFont="1"/>
    <xf numFmtId="9" fontId="27" fillId="4" borderId="41" xfId="0" applyNumberFormat="1" applyFont="1" applyFill="1" applyBorder="1"/>
    <xf numFmtId="0" fontId="15" fillId="0" borderId="0" xfId="0" applyFont="1" applyFill="1" applyBorder="1" applyAlignment="1">
      <alignment horizontal="center"/>
    </xf>
    <xf numFmtId="169" fontId="9" fillId="0" borderId="0" xfId="1" applyNumberFormat="1" applyFont="1" applyFill="1" applyBorder="1"/>
    <xf numFmtId="169" fontId="14" fillId="0" borderId="0" xfId="1" applyNumberFormat="1" applyFont="1" applyFill="1" applyBorder="1"/>
    <xf numFmtId="0" fontId="2" fillId="0" borderId="0" xfId="0" applyFont="1" applyFill="1" applyBorder="1" applyAlignment="1"/>
    <xf numFmtId="0" fontId="15" fillId="0" borderId="0" xfId="0" applyFont="1" applyFill="1" applyBorder="1" applyAlignment="1"/>
    <xf numFmtId="0" fontId="29" fillId="0" borderId="0" xfId="0" applyFont="1" applyAlignment="1">
      <alignment horizontal="right" vertical="center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43" fontId="19" fillId="0" borderId="22" xfId="1" applyFont="1" applyBorder="1"/>
    <xf numFmtId="0" fontId="7" fillId="0" borderId="12" xfId="3" applyFill="1" applyBorder="1"/>
    <xf numFmtId="0" fontId="7" fillId="0" borderId="13" xfId="3" applyFill="1" applyBorder="1"/>
    <xf numFmtId="0" fontId="0" fillId="0" borderId="0" xfId="0" applyFill="1" applyAlignment="1">
      <alignment horizontal="center"/>
    </xf>
    <xf numFmtId="164" fontId="9" fillId="0" borderId="30" xfId="1" applyNumberFormat="1" applyFont="1" applyFill="1" applyBorder="1"/>
    <xf numFmtId="43" fontId="14" fillId="0" borderId="0" xfId="1" applyFont="1" applyFill="1"/>
    <xf numFmtId="43" fontId="14" fillId="0" borderId="22" xfId="1" applyFont="1" applyFill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/>
    <xf numFmtId="43" fontId="19" fillId="0" borderId="12" xfId="0" applyNumberFormat="1" applyFont="1" applyFill="1" applyBorder="1"/>
    <xf numFmtId="0" fontId="19" fillId="0" borderId="12" xfId="0" applyFont="1" applyFill="1" applyBorder="1"/>
    <xf numFmtId="170" fontId="24" fillId="0" borderId="38" xfId="0" applyNumberFormat="1" applyFont="1" applyBorder="1" applyAlignment="1">
      <alignment horizontal="center" vertical="center"/>
    </xf>
    <xf numFmtId="0" fontId="19" fillId="0" borderId="38" xfId="0" applyFont="1" applyBorder="1"/>
    <xf numFmtId="44" fontId="0" fillId="0" borderId="0" xfId="0" applyNumberFormat="1" applyFill="1"/>
    <xf numFmtId="8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9" fontId="0" fillId="0" borderId="0" xfId="0" applyNumberFormat="1"/>
    <xf numFmtId="0" fontId="0" fillId="3" borderId="0" xfId="0" applyFill="1"/>
    <xf numFmtId="164" fontId="14" fillId="0" borderId="0" xfId="1" applyNumberFormat="1" applyFont="1" applyBorder="1"/>
    <xf numFmtId="1" fontId="14" fillId="0" borderId="0" xfId="1" applyNumberFormat="1" applyFont="1" applyBorder="1" applyAlignment="1">
      <alignment horizontal="center" vertical="center"/>
    </xf>
    <xf numFmtId="43" fontId="14" fillId="0" borderId="0" xfId="1" applyNumberFormat="1" applyFont="1" applyBorder="1"/>
    <xf numFmtId="169" fontId="14" fillId="0" borderId="0" xfId="1" applyNumberFormat="1" applyFont="1" applyBorder="1"/>
    <xf numFmtId="164" fontId="33" fillId="0" borderId="0" xfId="9" applyNumberFormat="1" applyFont="1" applyBorder="1" applyAlignment="1">
      <alignment horizontal="center" vertical="center"/>
    </xf>
    <xf numFmtId="43" fontId="14" fillId="0" borderId="0" xfId="1" applyFont="1" applyBorder="1"/>
    <xf numFmtId="43" fontId="14" fillId="0" borderId="0" xfId="1" applyFont="1" applyFill="1" applyBorder="1"/>
    <xf numFmtId="2" fontId="11" fillId="5" borderId="17" xfId="3" applyNumberFormat="1" applyFont="1" applyFill="1" applyBorder="1"/>
    <xf numFmtId="0" fontId="37" fillId="6" borderId="24" xfId="0" applyFont="1" applyFill="1" applyBorder="1" applyAlignment="1">
      <alignment horizontal="center"/>
    </xf>
    <xf numFmtId="0" fontId="37" fillId="6" borderId="25" xfId="0" applyFont="1" applyFill="1" applyBorder="1" applyAlignment="1">
      <alignment horizontal="center"/>
    </xf>
    <xf numFmtId="0" fontId="37" fillId="6" borderId="28" xfId="0" applyFont="1" applyFill="1" applyBorder="1" applyAlignment="1">
      <alignment horizontal="center"/>
    </xf>
    <xf numFmtId="0" fontId="31" fillId="6" borderId="24" xfId="0" applyFont="1" applyFill="1" applyBorder="1" applyAlignment="1">
      <alignment horizontal="center"/>
    </xf>
    <xf numFmtId="0" fontId="31" fillId="6" borderId="25" xfId="0" applyFont="1" applyFill="1" applyBorder="1" applyAlignment="1">
      <alignment horizontal="center"/>
    </xf>
    <xf numFmtId="0" fontId="31" fillId="6" borderId="28" xfId="0" applyFont="1" applyFill="1" applyBorder="1" applyAlignment="1">
      <alignment horizontal="center"/>
    </xf>
    <xf numFmtId="0" fontId="31" fillId="6" borderId="5" xfId="0" applyFont="1" applyFill="1" applyBorder="1" applyAlignment="1">
      <alignment horizontal="center"/>
    </xf>
    <xf numFmtId="0" fontId="31" fillId="6" borderId="23" xfId="0" applyFont="1" applyFill="1" applyBorder="1" applyAlignment="1">
      <alignment horizontal="center"/>
    </xf>
    <xf numFmtId="0" fontId="36" fillId="6" borderId="0" xfId="0" applyFont="1" applyFill="1" applyAlignment="1">
      <alignment horizontal="right"/>
    </xf>
    <xf numFmtId="43" fontId="38" fillId="6" borderId="0" xfId="0" applyNumberFormat="1" applyFont="1" applyFill="1"/>
    <xf numFmtId="0" fontId="41" fillId="6" borderId="5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center"/>
    </xf>
    <xf numFmtId="44" fontId="29" fillId="5" borderId="1" xfId="0" applyNumberFormat="1" applyFont="1" applyFill="1" applyBorder="1"/>
    <xf numFmtId="0" fontId="36" fillId="5" borderId="5" xfId="0" applyFont="1" applyFill="1" applyBorder="1" applyAlignment="1">
      <alignment horizontal="center" vertical="center"/>
    </xf>
    <xf numFmtId="170" fontId="36" fillId="5" borderId="0" xfId="1" applyNumberFormat="1" applyFont="1" applyFill="1" applyAlignment="1">
      <alignment horizontal="center" vertical="center"/>
    </xf>
    <xf numFmtId="10" fontId="36" fillId="5" borderId="0" xfId="2" applyNumberFormat="1" applyFont="1" applyFill="1"/>
    <xf numFmtId="0" fontId="36" fillId="6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165" fontId="41" fillId="6" borderId="0" xfId="0" applyNumberFormat="1" applyFont="1" applyFill="1" applyBorder="1" applyAlignment="1">
      <alignment horizontal="center"/>
    </xf>
    <xf numFmtId="10" fontId="41" fillId="6" borderId="0" xfId="2" applyNumberFormat="1" applyFont="1" applyFill="1" applyBorder="1" applyAlignment="1">
      <alignment horizontal="center"/>
    </xf>
    <xf numFmtId="0" fontId="41" fillId="6" borderId="0" xfId="0" applyFont="1" applyFill="1" applyAlignment="1">
      <alignment horizontal="center" vertical="center" wrapText="1"/>
    </xf>
    <xf numFmtId="0" fontId="41" fillId="6" borderId="0" xfId="0" applyFont="1" applyFill="1" applyBorder="1" applyAlignment="1">
      <alignment horizontal="center" vertical="center" wrapText="1"/>
    </xf>
    <xf numFmtId="0" fontId="45" fillId="6" borderId="0" xfId="0" applyFont="1" applyFill="1"/>
    <xf numFmtId="9" fontId="46" fillId="6" borderId="0" xfId="0" applyNumberFormat="1" applyFont="1" applyFill="1" applyAlignment="1">
      <alignment horizontal="right"/>
    </xf>
    <xf numFmtId="9" fontId="47" fillId="6" borderId="41" xfId="0" applyNumberFormat="1" applyFont="1" applyFill="1" applyBorder="1"/>
    <xf numFmtId="0" fontId="43" fillId="6" borderId="0" xfId="0" applyFont="1" applyFill="1" applyAlignment="1">
      <alignment horizontal="center" vertical="center"/>
    </xf>
    <xf numFmtId="8" fontId="47" fillId="6" borderId="0" xfId="0" applyNumberFormat="1" applyFont="1" applyFill="1" applyAlignment="1">
      <alignment horizontal="center" vertical="center"/>
    </xf>
    <xf numFmtId="10" fontId="47" fillId="6" borderId="0" xfId="0" applyNumberFormat="1" applyFont="1" applyFill="1" applyAlignment="1">
      <alignment horizontal="center"/>
    </xf>
    <xf numFmtId="0" fontId="48" fillId="6" borderId="0" xfId="0" applyFont="1" applyFill="1"/>
    <xf numFmtId="9" fontId="43" fillId="6" borderId="0" xfId="0" applyNumberFormat="1" applyFont="1" applyFill="1" applyBorder="1" applyAlignment="1"/>
    <xf numFmtId="0" fontId="43" fillId="6" borderId="5" xfId="0" applyFont="1" applyFill="1" applyBorder="1" applyAlignment="1">
      <alignment vertical="center"/>
    </xf>
    <xf numFmtId="0" fontId="36" fillId="6" borderId="0" xfId="0" applyFont="1" applyFill="1" applyAlignment="1">
      <alignment horizontal="center" vertical="center"/>
    </xf>
    <xf numFmtId="8" fontId="36" fillId="6" borderId="0" xfId="0" applyNumberFormat="1" applyFont="1" applyFill="1"/>
    <xf numFmtId="10" fontId="36" fillId="6" borderId="0" xfId="0" applyNumberFormat="1" applyFont="1" applyFill="1" applyAlignment="1">
      <alignment horizontal="center"/>
    </xf>
    <xf numFmtId="44" fontId="29" fillId="0" borderId="9" xfId="0" applyNumberFormat="1" applyFont="1" applyFill="1" applyBorder="1"/>
    <xf numFmtId="44" fontId="29" fillId="0" borderId="0" xfId="1" applyNumberFormat="1" applyFont="1" applyFill="1" applyBorder="1"/>
    <xf numFmtId="164" fontId="14" fillId="0" borderId="49" xfId="1" applyNumberFormat="1" applyFont="1" applyBorder="1"/>
    <xf numFmtId="43" fontId="14" fillId="0" borderId="49" xfId="1" applyNumberFormat="1" applyFont="1" applyBorder="1"/>
    <xf numFmtId="0" fontId="14" fillId="0" borderId="0" xfId="0" applyFont="1"/>
    <xf numFmtId="0" fontId="38" fillId="6" borderId="24" xfId="0" applyFont="1" applyFill="1" applyBorder="1" applyAlignment="1">
      <alignment horizontal="center"/>
    </xf>
    <xf numFmtId="0" fontId="38" fillId="6" borderId="25" xfId="0" applyFont="1" applyFill="1" applyBorder="1" applyAlignment="1">
      <alignment horizontal="center"/>
    </xf>
    <xf numFmtId="0" fontId="38" fillId="6" borderId="28" xfId="0" applyFont="1" applyFill="1" applyBorder="1" applyAlignment="1">
      <alignment horizontal="center"/>
    </xf>
    <xf numFmtId="0" fontId="38" fillId="6" borderId="46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44" fontId="49" fillId="0" borderId="47" xfId="14" applyFont="1" applyFill="1" applyBorder="1" applyAlignment="1">
      <alignment horizontal="center" vertical="center"/>
    </xf>
    <xf numFmtId="44" fontId="49" fillId="0" borderId="7" xfId="14" applyFont="1" applyFill="1" applyBorder="1" applyAlignment="1">
      <alignment horizontal="center" vertical="center"/>
    </xf>
    <xf numFmtId="44" fontId="49" fillId="0" borderId="11" xfId="14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49" fillId="0" borderId="7" xfId="9" applyNumberFormat="1" applyFont="1" applyBorder="1" applyAlignment="1">
      <alignment horizontal="center" vertical="center"/>
    </xf>
    <xf numFmtId="164" fontId="49" fillId="0" borderId="0" xfId="9" applyNumberFormat="1" applyFont="1" applyBorder="1" applyAlignment="1">
      <alignment horizontal="center" vertical="center"/>
    </xf>
    <xf numFmtId="44" fontId="49" fillId="0" borderId="44" xfId="14" applyFont="1" applyFill="1" applyBorder="1" applyAlignment="1">
      <alignment horizontal="center" vertical="center"/>
    </xf>
    <xf numFmtId="0" fontId="14" fillId="0" borderId="0" xfId="0" applyFont="1" applyBorder="1"/>
    <xf numFmtId="0" fontId="41" fillId="6" borderId="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165" fontId="51" fillId="0" borderId="0" xfId="0" applyNumberFormat="1" applyFont="1"/>
    <xf numFmtId="9" fontId="40" fillId="6" borderId="0" xfId="0" applyNumberFormat="1" applyFont="1" applyFill="1" applyAlignment="1"/>
    <xf numFmtId="0" fontId="45" fillId="0" borderId="0" xfId="0" applyFont="1" applyFill="1"/>
    <xf numFmtId="0" fontId="41" fillId="6" borderId="5" xfId="0" applyFont="1" applyFill="1" applyBorder="1" applyAlignment="1">
      <alignment horizontal="center" wrapText="1"/>
    </xf>
    <xf numFmtId="0" fontId="6" fillId="3" borderId="0" xfId="0" applyFont="1" applyFill="1" applyAlignment="1">
      <alignment vertical="center" wrapText="1"/>
    </xf>
    <xf numFmtId="0" fontId="0" fillId="3" borderId="0" xfId="0" applyFill="1" applyAlignment="1"/>
    <xf numFmtId="0" fontId="0" fillId="3" borderId="0" xfId="0" applyFill="1" applyAlignment="1">
      <alignment horizontal="center"/>
    </xf>
    <xf numFmtId="165" fontId="14" fillId="3" borderId="0" xfId="0" applyNumberFormat="1" applyFont="1" applyFill="1"/>
    <xf numFmtId="9" fontId="18" fillId="0" borderId="0" xfId="0" applyNumberFormat="1" applyFont="1" applyAlignment="1">
      <alignment horizontal="center"/>
    </xf>
    <xf numFmtId="166" fontId="19" fillId="0" borderId="7" xfId="2" applyNumberFormat="1" applyFont="1" applyBorder="1" applyAlignment="1">
      <alignment horizontal="center" vertical="center"/>
    </xf>
    <xf numFmtId="166" fontId="19" fillId="0" borderId="13" xfId="2" applyNumberFormat="1" applyFont="1" applyBorder="1" applyAlignment="1">
      <alignment horizontal="center" vertical="center"/>
    </xf>
    <xf numFmtId="0" fontId="52" fillId="0" borderId="0" xfId="0" applyFont="1"/>
    <xf numFmtId="165" fontId="0" fillId="0" borderId="0" xfId="0" applyNumberFormat="1"/>
    <xf numFmtId="164" fontId="0" fillId="0" borderId="0" xfId="0" applyNumberFormat="1" applyFill="1"/>
    <xf numFmtId="10" fontId="23" fillId="7" borderId="39" xfId="2" quotePrefix="1" applyNumberFormat="1" applyFont="1" applyFill="1" applyBorder="1" applyAlignment="1">
      <alignment horizontal="center" vertical="center"/>
    </xf>
    <xf numFmtId="4" fontId="23" fillId="7" borderId="39" xfId="1" applyNumberFormat="1" applyFont="1" applyFill="1" applyBorder="1" applyAlignment="1">
      <alignment horizontal="center" vertical="center"/>
    </xf>
    <xf numFmtId="8" fontId="23" fillId="7" borderId="39" xfId="0" applyNumberFormat="1" applyFont="1" applyFill="1" applyBorder="1" applyAlignment="1">
      <alignment horizontal="center" vertical="center"/>
    </xf>
    <xf numFmtId="10" fontId="23" fillId="7" borderId="39" xfId="0" applyNumberFormat="1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vertical="center"/>
    </xf>
    <xf numFmtId="8" fontId="53" fillId="0" borderId="38" xfId="0" applyNumberFormat="1" applyFont="1" applyBorder="1" applyAlignment="1">
      <alignment horizontal="center" vertical="center"/>
    </xf>
    <xf numFmtId="8" fontId="53" fillId="0" borderId="0" xfId="0" applyNumberFormat="1" applyFont="1" applyBorder="1" applyAlignment="1">
      <alignment horizontal="center" vertical="center"/>
    </xf>
    <xf numFmtId="10" fontId="23" fillId="7" borderId="40" xfId="2" quotePrefix="1" applyNumberFormat="1" applyFont="1" applyFill="1" applyBorder="1" applyAlignment="1">
      <alignment horizontal="center"/>
    </xf>
    <xf numFmtId="8" fontId="23" fillId="7" borderId="40" xfId="0" applyNumberFormat="1" applyFont="1" applyFill="1" applyBorder="1" applyAlignment="1">
      <alignment horizontal="center"/>
    </xf>
    <xf numFmtId="10" fontId="23" fillId="7" borderId="40" xfId="0" applyNumberFormat="1" applyFont="1" applyFill="1" applyBorder="1" applyAlignment="1">
      <alignment horizontal="center"/>
    </xf>
    <xf numFmtId="0" fontId="23" fillId="7" borderId="40" xfId="0" applyFont="1" applyFill="1" applyBorder="1" applyAlignment="1">
      <alignment horizontal="left"/>
    </xf>
    <xf numFmtId="8" fontId="36" fillId="6" borderId="0" xfId="0" applyNumberFormat="1" applyFont="1" applyFill="1" applyAlignment="1">
      <alignment horizontal="center"/>
    </xf>
    <xf numFmtId="2" fontId="54" fillId="0" borderId="9" xfId="3" applyNumberFormat="1" applyFont="1" applyBorder="1"/>
    <xf numFmtId="167" fontId="54" fillId="0" borderId="0" xfId="8" applyNumberFormat="1" applyFont="1" applyBorder="1"/>
    <xf numFmtId="9" fontId="54" fillId="0" borderId="0" xfId="12" applyNumberFormat="1" applyFont="1" applyBorder="1" applyAlignment="1">
      <alignment horizontal="center" vertical="center"/>
    </xf>
    <xf numFmtId="10" fontId="54" fillId="0" borderId="0" xfId="12" applyNumberFormat="1" applyFont="1" applyBorder="1" applyAlignment="1">
      <alignment horizontal="center"/>
    </xf>
    <xf numFmtId="2" fontId="54" fillId="0" borderId="17" xfId="12" applyNumberFormat="1" applyFont="1" applyBorder="1" applyAlignment="1">
      <alignment horizontal="center"/>
    </xf>
    <xf numFmtId="2" fontId="54" fillId="0" borderId="9" xfId="3" quotePrefix="1" applyNumberFormat="1" applyFont="1" applyBorder="1" applyAlignment="1">
      <alignment vertical="center"/>
    </xf>
    <xf numFmtId="2" fontId="54" fillId="0" borderId="0" xfId="3" applyNumberFormat="1" applyFont="1" applyBorder="1" applyAlignment="1">
      <alignment vertical="center"/>
    </xf>
    <xf numFmtId="166" fontId="54" fillId="0" borderId="0" xfId="3" applyNumberFormat="1" applyFont="1" applyBorder="1" applyAlignment="1">
      <alignment horizontal="right" vertical="center"/>
    </xf>
    <xf numFmtId="2" fontId="54" fillId="0" borderId="0" xfId="3" applyNumberFormat="1" applyFont="1" applyBorder="1" applyAlignment="1">
      <alignment horizontal="right" vertical="center"/>
    </xf>
    <xf numFmtId="9" fontId="54" fillId="0" borderId="17" xfId="12" applyFont="1" applyBorder="1" applyAlignment="1">
      <alignment horizontal="center" vertical="center"/>
    </xf>
    <xf numFmtId="165" fontId="54" fillId="0" borderId="9" xfId="10" applyNumberFormat="1" applyFont="1" applyFill="1" applyBorder="1"/>
    <xf numFmtId="165" fontId="54" fillId="0" borderId="0" xfId="10" applyNumberFormat="1" applyFont="1" applyFill="1" applyBorder="1"/>
    <xf numFmtId="2" fontId="54" fillId="0" borderId="17" xfId="3" applyNumberFormat="1" applyFont="1" applyBorder="1"/>
    <xf numFmtId="9" fontId="36" fillId="6" borderId="0" xfId="0" applyNumberFormat="1" applyFont="1" applyFill="1" applyAlignment="1"/>
    <xf numFmtId="0" fontId="37" fillId="6" borderId="26" xfId="0" applyFont="1" applyFill="1" applyBorder="1" applyAlignment="1">
      <alignment horizontal="center"/>
    </xf>
    <xf numFmtId="0" fontId="37" fillId="6" borderId="27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4" fontId="14" fillId="0" borderId="0" xfId="0" applyNumberFormat="1" applyFont="1" applyBorder="1"/>
    <xf numFmtId="164" fontId="14" fillId="0" borderId="49" xfId="1" applyNumberFormat="1" applyFont="1" applyBorder="1" applyAlignment="1">
      <alignment horizontal="center" vertical="center"/>
    </xf>
    <xf numFmtId="164" fontId="14" fillId="0" borderId="34" xfId="1" applyNumberFormat="1" applyFont="1" applyBorder="1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51" xfId="0" applyNumberFormat="1" applyFont="1" applyBorder="1" applyAlignment="1">
      <alignment horizontal="center" vertical="center"/>
    </xf>
    <xf numFmtId="1" fontId="9" fillId="0" borderId="0" xfId="15" applyNumberFormat="1" applyFont="1" applyBorder="1" applyAlignment="1">
      <alignment horizontal="center" vertical="center"/>
    </xf>
    <xf numFmtId="1" fontId="9" fillId="0" borderId="7" xfId="15" applyNumberFormat="1" applyFont="1" applyBorder="1" applyAlignment="1">
      <alignment horizontal="center" vertical="center"/>
    </xf>
    <xf numFmtId="164" fontId="49" fillId="0" borderId="52" xfId="9" applyNumberFormat="1" applyFont="1" applyBorder="1" applyAlignment="1">
      <alignment horizontal="center" vertical="center"/>
    </xf>
    <xf numFmtId="164" fontId="49" fillId="0" borderId="44" xfId="9" applyNumberFormat="1" applyFont="1" applyBorder="1" applyAlignment="1">
      <alignment horizontal="center" vertical="center"/>
    </xf>
    <xf numFmtId="2" fontId="54" fillId="8" borderId="17" xfId="3" applyNumberFormat="1" applyFont="1" applyFill="1" applyBorder="1"/>
    <xf numFmtId="164" fontId="9" fillId="0" borderId="38" xfId="1" applyNumberFormat="1" applyFont="1" applyFill="1" applyBorder="1"/>
    <xf numFmtId="0" fontId="0" fillId="0" borderId="34" xfId="0" applyBorder="1"/>
    <xf numFmtId="4" fontId="14" fillId="9" borderId="0" xfId="0" applyNumberFormat="1" applyFont="1" applyFill="1"/>
    <xf numFmtId="4" fontId="14" fillId="9" borderId="22" xfId="0" applyNumberFormat="1" applyFont="1" applyFill="1" applyBorder="1"/>
    <xf numFmtId="43" fontId="9" fillId="9" borderId="29" xfId="1" applyNumberFormat="1" applyFont="1" applyFill="1" applyBorder="1"/>
    <xf numFmtId="43" fontId="9" fillId="9" borderId="30" xfId="1" applyNumberFormat="1" applyFont="1" applyFill="1" applyBorder="1"/>
    <xf numFmtId="43" fontId="9" fillId="9" borderId="31" xfId="1" applyNumberFormat="1" applyFont="1" applyFill="1" applyBorder="1"/>
    <xf numFmtId="43" fontId="9" fillId="9" borderId="32" xfId="1" applyNumberFormat="1" applyFont="1" applyFill="1" applyBorder="1"/>
    <xf numFmtId="43" fontId="9" fillId="9" borderId="33" xfId="1" applyNumberFormat="1" applyFont="1" applyFill="1" applyBorder="1"/>
    <xf numFmtId="0" fontId="0" fillId="9" borderId="0" xfId="0" applyFill="1" applyAlignment="1">
      <alignment horizontal="center"/>
    </xf>
    <xf numFmtId="164" fontId="9" fillId="9" borderId="29" xfId="1" applyNumberFormat="1" applyFont="1" applyFill="1" applyBorder="1"/>
    <xf numFmtId="164" fontId="9" fillId="9" borderId="30" xfId="1" applyNumberFormat="1" applyFont="1" applyFill="1" applyBorder="1"/>
    <xf numFmtId="164" fontId="9" fillId="9" borderId="31" xfId="1" applyNumberFormat="1" applyFont="1" applyFill="1" applyBorder="1"/>
    <xf numFmtId="164" fontId="9" fillId="9" borderId="32" xfId="1" applyNumberFormat="1" applyFont="1" applyFill="1" applyBorder="1"/>
    <xf numFmtId="164" fontId="9" fillId="9" borderId="33" xfId="1" applyNumberFormat="1" applyFont="1" applyFill="1" applyBorder="1"/>
    <xf numFmtId="3" fontId="49" fillId="0" borderId="0" xfId="15" applyNumberFormat="1" applyFont="1" applyBorder="1" applyAlignment="1">
      <alignment horizontal="center" vertical="top"/>
    </xf>
    <xf numFmtId="164" fontId="49" fillId="0" borderId="42" xfId="9" applyNumberFormat="1" applyFont="1" applyBorder="1" applyAlignment="1">
      <alignment vertical="top"/>
    </xf>
    <xf numFmtId="164" fontId="49" fillId="0" borderId="43" xfId="9" applyNumberFormat="1" applyFont="1" applyBorder="1" applyAlignment="1">
      <alignment vertical="top"/>
    </xf>
    <xf numFmtId="164" fontId="49" fillId="0" borderId="50" xfId="9" applyNumberFormat="1" applyFont="1" applyBorder="1" applyAlignment="1">
      <alignment vertical="top"/>
    </xf>
    <xf numFmtId="3" fontId="49" fillId="0" borderId="7" xfId="15" applyNumberFormat="1" applyFont="1" applyBorder="1" applyAlignment="1">
      <alignment horizontal="center" vertical="top"/>
    </xf>
    <xf numFmtId="164" fontId="49" fillId="0" borderId="7" xfId="9" applyNumberFormat="1" applyFont="1" applyBorder="1" applyAlignment="1">
      <alignment vertical="top"/>
    </xf>
    <xf numFmtId="164" fontId="49" fillId="0" borderId="11" xfId="9" applyNumberFormat="1" applyFont="1" applyBorder="1" applyAlignment="1">
      <alignment vertical="top"/>
    </xf>
    <xf numFmtId="3" fontId="49" fillId="0" borderId="47" xfId="15" applyNumberFormat="1" applyFont="1" applyBorder="1">
      <alignment vertical="top"/>
    </xf>
    <xf numFmtId="0" fontId="57" fillId="0" borderId="0" xfId="0" applyFont="1"/>
    <xf numFmtId="43" fontId="49" fillId="0" borderId="29" xfId="1" applyNumberFormat="1" applyFont="1" applyFill="1" applyBorder="1"/>
    <xf numFmtId="43" fontId="49" fillId="0" borderId="30" xfId="1" applyNumberFormat="1" applyFont="1" applyFill="1" applyBorder="1"/>
    <xf numFmtId="43" fontId="49" fillId="0" borderId="33" xfId="1" applyNumberFormat="1" applyFont="1" applyFill="1" applyBorder="1"/>
    <xf numFmtId="43" fontId="49" fillId="0" borderId="48" xfId="1" applyNumberFormat="1" applyFont="1" applyFill="1" applyBorder="1"/>
    <xf numFmtId="43" fontId="49" fillId="0" borderId="38" xfId="1" applyNumberFormat="1" applyFont="1" applyFill="1" applyBorder="1"/>
    <xf numFmtId="164" fontId="49" fillId="0" borderId="33" xfId="1" applyNumberFormat="1" applyFont="1" applyFill="1" applyBorder="1"/>
    <xf numFmtId="164" fontId="49" fillId="0" borderId="30" xfId="1" applyNumberFormat="1" applyFont="1" applyFill="1" applyBorder="1"/>
    <xf numFmtId="44" fontId="49" fillId="0" borderId="29" xfId="13" applyFont="1" applyFill="1" applyBorder="1"/>
    <xf numFmtId="44" fontId="49" fillId="0" borderId="30" xfId="13" applyFont="1" applyFill="1" applyBorder="1"/>
    <xf numFmtId="44" fontId="49" fillId="0" borderId="33" xfId="13" applyFont="1" applyFill="1" applyBorder="1"/>
    <xf numFmtId="44" fontId="49" fillId="0" borderId="48" xfId="13" applyFont="1" applyFill="1" applyBorder="1"/>
    <xf numFmtId="44" fontId="31" fillId="0" borderId="0" xfId="13" applyFont="1"/>
    <xf numFmtId="44" fontId="31" fillId="0" borderId="34" xfId="13" applyFont="1" applyBorder="1"/>
    <xf numFmtId="44" fontId="31" fillId="0" borderId="37" xfId="13" applyFont="1" applyBorder="1"/>
    <xf numFmtId="44" fontId="31" fillId="0" borderId="49" xfId="13" applyFont="1" applyBorder="1"/>
    <xf numFmtId="44" fontId="31" fillId="0" borderId="0" xfId="13" applyFont="1" applyBorder="1"/>
    <xf numFmtId="44" fontId="14" fillId="0" borderId="0" xfId="13" applyFont="1"/>
    <xf numFmtId="44" fontId="14" fillId="0" borderId="34" xfId="13" applyFont="1" applyBorder="1"/>
    <xf numFmtId="44" fontId="14" fillId="0" borderId="37" xfId="13" applyFont="1" applyBorder="1"/>
    <xf numFmtId="44" fontId="14" fillId="0" borderId="49" xfId="13" applyFont="1" applyBorder="1"/>
    <xf numFmtId="44" fontId="14" fillId="0" borderId="0" xfId="13" applyFont="1" applyBorder="1"/>
    <xf numFmtId="164" fontId="49" fillId="0" borderId="52" xfId="9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2" fillId="6" borderId="2" xfId="0" applyFont="1" applyFill="1" applyBorder="1" applyAlignment="1">
      <alignment horizontal="center"/>
    </xf>
    <xf numFmtId="0" fontId="42" fillId="6" borderId="3" xfId="0" applyFont="1" applyFill="1" applyBorder="1" applyAlignment="1">
      <alignment horizontal="center"/>
    </xf>
    <xf numFmtId="0" fontId="42" fillId="6" borderId="4" xfId="0" applyFont="1" applyFill="1" applyBorder="1" applyAlignment="1">
      <alignment horizontal="center"/>
    </xf>
    <xf numFmtId="0" fontId="34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6" fillId="0" borderId="0" xfId="7" applyFont="1" applyFill="1" applyAlignment="1" applyProtection="1">
      <alignment horizontal="center"/>
    </xf>
    <xf numFmtId="0" fontId="38" fillId="6" borderId="0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/>
    </xf>
    <xf numFmtId="0" fontId="38" fillId="6" borderId="0" xfId="0" applyFont="1" applyFill="1" applyBorder="1" applyAlignment="1">
      <alignment horizontal="center"/>
    </xf>
    <xf numFmtId="0" fontId="38" fillId="6" borderId="45" xfId="0" applyFont="1" applyFill="1" applyBorder="1" applyAlignment="1">
      <alignment horizontal="center"/>
    </xf>
    <xf numFmtId="0" fontId="38" fillId="6" borderId="0" xfId="0" applyFont="1" applyFill="1" applyAlignment="1">
      <alignment horizontal="center" vertical="center"/>
    </xf>
    <xf numFmtId="0" fontId="35" fillId="6" borderId="2" xfId="3" applyFont="1" applyFill="1" applyBorder="1" applyAlignment="1">
      <alignment horizontal="center"/>
    </xf>
    <xf numFmtId="0" fontId="35" fillId="6" borderId="3" xfId="3" applyFont="1" applyFill="1" applyBorder="1" applyAlignment="1">
      <alignment horizontal="center"/>
    </xf>
    <xf numFmtId="0" fontId="35" fillId="6" borderId="4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55" fillId="0" borderId="0" xfId="7" applyFont="1" applyAlignment="1" applyProtection="1">
      <alignment horizontal="center"/>
    </xf>
    <xf numFmtId="0" fontId="36" fillId="6" borderId="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center"/>
    </xf>
    <xf numFmtId="0" fontId="36" fillId="6" borderId="0" xfId="0" applyFont="1" applyFill="1" applyAlignment="1">
      <alignment horizontal="center" vertical="center"/>
    </xf>
    <xf numFmtId="0" fontId="37" fillId="6" borderId="0" xfId="0" applyFont="1" applyFill="1" applyBorder="1" applyAlignment="1">
      <alignment horizontal="center"/>
    </xf>
    <xf numFmtId="0" fontId="37" fillId="6" borderId="12" xfId="0" applyFont="1" applyFill="1" applyBorder="1" applyAlignment="1">
      <alignment horizontal="center"/>
    </xf>
    <xf numFmtId="0" fontId="13" fillId="0" borderId="0" xfId="7" applyFont="1" applyAlignment="1" applyProtection="1">
      <alignment horizontal="center"/>
    </xf>
    <xf numFmtId="0" fontId="12" fillId="0" borderId="0" xfId="7" applyAlignment="1" applyProtection="1">
      <alignment horizontal="center"/>
    </xf>
    <xf numFmtId="0" fontId="37" fillId="6" borderId="45" xfId="0" applyFont="1" applyFill="1" applyBorder="1" applyAlignment="1">
      <alignment horizontal="center"/>
    </xf>
    <xf numFmtId="0" fontId="39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/>
    </xf>
    <xf numFmtId="0" fontId="56" fillId="0" borderId="0" xfId="7" applyFont="1" applyAlignment="1" applyProtection="1">
      <alignment horizontal="center"/>
    </xf>
    <xf numFmtId="0" fontId="36" fillId="0" borderId="0" xfId="0" applyFont="1" applyAlignment="1">
      <alignment horizontal="center"/>
    </xf>
    <xf numFmtId="0" fontId="41" fillId="6" borderId="0" xfId="0" applyFont="1" applyFill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3" fillId="6" borderId="0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3" fillId="6" borderId="0" xfId="0" applyFont="1" applyFill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43" fillId="6" borderId="0" xfId="0" applyFont="1" applyFill="1" applyAlignment="1">
      <alignment horizontal="center"/>
    </xf>
    <xf numFmtId="0" fontId="40" fillId="6" borderId="0" xfId="0" applyFont="1" applyFill="1" applyAlignment="1">
      <alignment horizontal="center" vertical="center" wrapText="1"/>
    </xf>
    <xf numFmtId="0" fontId="41" fillId="6" borderId="0" xfId="0" applyFont="1" applyFill="1" applyBorder="1" applyAlignment="1">
      <alignment horizontal="center" vertical="center" wrapText="1"/>
    </xf>
    <xf numFmtId="0" fontId="23" fillId="7" borderId="39" xfId="0" applyNumberFormat="1" applyFont="1" applyFill="1" applyBorder="1" applyAlignment="1">
      <alignment horizontal="center" vertical="center"/>
    </xf>
  </cellXfs>
  <cellStyles count="16">
    <cellStyle name="Comma_Evaluación  La Piedad y Acceso a Zamora" xfId="4"/>
    <cellStyle name="Euro" xfId="5"/>
    <cellStyle name="Euro 2" xfId="6"/>
    <cellStyle name="Hipervínculo" xfId="7" builtinId="8"/>
    <cellStyle name="Millares" xfId="1" builtinId="3"/>
    <cellStyle name="Millares 2" xfId="9"/>
    <cellStyle name="Millares 3" xfId="8"/>
    <cellStyle name="Millares_Datos basicos Tijuana-Rosarito" xfId="10"/>
    <cellStyle name="Moneda" xfId="13" builtinId="4"/>
    <cellStyle name="Moneda 2" xfId="14"/>
    <cellStyle name="Normal" xfId="0" builtinId="0"/>
    <cellStyle name="Normal 2" xfId="3"/>
    <cellStyle name="Normal 3" xfId="15"/>
    <cellStyle name="Porcentaje" xfId="2" builtinId="5"/>
    <cellStyle name="Porcentaje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zoomScale="80" zoomScaleNormal="80" workbookViewId="0">
      <selection activeCell="R22" sqref="R22"/>
    </sheetView>
  </sheetViews>
  <sheetFormatPr baseColWidth="10" defaultRowHeight="15" x14ac:dyDescent="0.25"/>
  <cols>
    <col min="1" max="1" width="57" bestFit="1" customWidth="1"/>
    <col min="2" max="2" width="9.85546875" bestFit="1" customWidth="1"/>
    <col min="3" max="3" width="8.7109375" bestFit="1" customWidth="1"/>
    <col min="4" max="4" width="8.5703125" bestFit="1" customWidth="1"/>
    <col min="5" max="5" width="10" bestFit="1" customWidth="1"/>
    <col min="6" max="6" width="8.140625" bestFit="1" customWidth="1"/>
    <col min="7" max="7" width="7.42578125" bestFit="1" customWidth="1"/>
    <col min="8" max="8" width="10" bestFit="1" customWidth="1"/>
    <col min="9" max="9" width="12.28515625" bestFit="1" customWidth="1"/>
    <col min="10" max="10" width="15.28515625" customWidth="1"/>
    <col min="11" max="11" width="12.42578125" customWidth="1"/>
    <col min="12" max="12" width="7.7109375" customWidth="1"/>
    <col min="13" max="13" width="8.140625" customWidth="1"/>
    <col min="14" max="14" width="7.28515625" bestFit="1" customWidth="1"/>
    <col min="15" max="15" width="11.85546875" customWidth="1"/>
    <col min="16" max="16" width="16.42578125" bestFit="1" customWidth="1"/>
    <col min="17" max="17" width="1.42578125" style="33" customWidth="1"/>
    <col min="18" max="18" width="12.42578125" customWidth="1"/>
    <col min="19" max="19" width="9" customWidth="1"/>
    <col min="20" max="20" width="10.28515625" customWidth="1"/>
  </cols>
  <sheetData>
    <row r="1" spans="1:17" ht="60.75" customHeight="1" x14ac:dyDescent="0.25">
      <c r="A1" s="357" t="s">
        <v>144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23"/>
    </row>
    <row r="2" spans="1:17" ht="19.5" customHeight="1" x14ac:dyDescent="0.25">
      <c r="A2" s="358" t="s">
        <v>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24"/>
    </row>
    <row r="4" spans="1:17" ht="23.25" customHeight="1" x14ac:dyDescent="0.25">
      <c r="A4" s="360" t="s">
        <v>1</v>
      </c>
      <c r="B4" s="362" t="s">
        <v>12</v>
      </c>
      <c r="C4" s="352" t="s">
        <v>13</v>
      </c>
      <c r="D4" s="362" t="s">
        <v>17</v>
      </c>
      <c r="E4" s="359" t="s">
        <v>3</v>
      </c>
      <c r="F4" s="360"/>
      <c r="G4" s="360"/>
      <c r="H4" s="360"/>
      <c r="I4" s="360"/>
      <c r="J4" s="361"/>
      <c r="K4" s="352" t="s">
        <v>16</v>
      </c>
      <c r="L4" s="362" t="s">
        <v>7</v>
      </c>
      <c r="M4" s="360" t="s">
        <v>8</v>
      </c>
      <c r="N4" s="362" t="s">
        <v>14</v>
      </c>
      <c r="O4" s="362" t="s">
        <v>9</v>
      </c>
      <c r="P4" s="365" t="s">
        <v>15</v>
      </c>
      <c r="Q4" s="25"/>
    </row>
    <row r="5" spans="1:17" ht="15.75" x14ac:dyDescent="0.25">
      <c r="A5" s="360"/>
      <c r="B5" s="362"/>
      <c r="C5" s="352"/>
      <c r="D5" s="362"/>
      <c r="E5" s="359" t="s">
        <v>141</v>
      </c>
      <c r="F5" s="360"/>
      <c r="G5" s="361"/>
      <c r="H5" s="359" t="s">
        <v>137</v>
      </c>
      <c r="I5" s="360"/>
      <c r="J5" s="361"/>
      <c r="K5" s="352"/>
      <c r="L5" s="362"/>
      <c r="M5" s="360"/>
      <c r="N5" s="362"/>
      <c r="O5" s="362"/>
      <c r="P5" s="365"/>
      <c r="Q5" s="25"/>
    </row>
    <row r="6" spans="1:17" ht="26.25" thickBot="1" x14ac:dyDescent="0.3">
      <c r="A6" s="353"/>
      <c r="B6" s="364"/>
      <c r="C6" s="353"/>
      <c r="D6" s="364"/>
      <c r="E6" s="5" t="s">
        <v>4</v>
      </c>
      <c r="F6" s="13" t="s">
        <v>5</v>
      </c>
      <c r="G6" s="6" t="s">
        <v>6</v>
      </c>
      <c r="H6" s="5" t="s">
        <v>4</v>
      </c>
      <c r="I6" s="13" t="s">
        <v>5</v>
      </c>
      <c r="J6" s="6" t="s">
        <v>6</v>
      </c>
      <c r="K6" s="353"/>
      <c r="L6" s="363"/>
      <c r="M6" s="353"/>
      <c r="N6" s="364"/>
      <c r="O6" s="363"/>
      <c r="P6" s="366"/>
      <c r="Q6" s="26"/>
    </row>
    <row r="7" spans="1:17" ht="5.0999999999999996" customHeight="1" thickTop="1" x14ac:dyDescent="0.25">
      <c r="B7" s="14"/>
      <c r="D7" s="14"/>
      <c r="E7" s="7"/>
      <c r="F7" s="2"/>
      <c r="G7" s="8"/>
      <c r="H7" s="7"/>
      <c r="I7" s="2"/>
      <c r="J7" s="8"/>
      <c r="L7" s="14"/>
      <c r="N7" s="14"/>
      <c r="P7" s="7"/>
      <c r="Q7" s="27"/>
    </row>
    <row r="8" spans="1:17" x14ac:dyDescent="0.25">
      <c r="A8" s="354" t="s">
        <v>10</v>
      </c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28"/>
    </row>
    <row r="9" spans="1:17" ht="5.0999999999999996" customHeight="1" x14ac:dyDescent="0.25">
      <c r="A9" s="9"/>
      <c r="B9" s="15"/>
      <c r="C9" s="4"/>
      <c r="D9" s="15"/>
      <c r="E9" s="10"/>
      <c r="F9" s="3"/>
      <c r="G9" s="11"/>
      <c r="H9" s="10"/>
      <c r="I9" s="3"/>
      <c r="J9" s="11"/>
      <c r="K9" s="4"/>
      <c r="L9" s="15"/>
      <c r="M9" s="4"/>
      <c r="N9" s="15"/>
      <c r="O9" s="4"/>
      <c r="P9" s="12"/>
      <c r="Q9" s="27"/>
    </row>
    <row r="10" spans="1:17" x14ac:dyDescent="0.25">
      <c r="A10" s="112" t="s">
        <v>142</v>
      </c>
      <c r="B10" s="167">
        <v>4.5999999999999996</v>
      </c>
      <c r="C10" s="113">
        <v>1006</v>
      </c>
      <c r="D10" s="114" t="s">
        <v>18</v>
      </c>
      <c r="E10" s="115">
        <v>0.95550000000000002</v>
      </c>
      <c r="F10" s="260">
        <v>4.0000000000000001E-3</v>
      </c>
      <c r="G10" s="261">
        <v>4.2500000000000003E-2</v>
      </c>
      <c r="H10" s="115">
        <v>0.95120000000000005</v>
      </c>
      <c r="I10" s="116">
        <v>3.8E-3</v>
      </c>
      <c r="J10" s="117">
        <v>4.4400000000000002E-2</v>
      </c>
      <c r="K10" s="118">
        <v>0.03</v>
      </c>
      <c r="L10" s="114" t="s">
        <v>19</v>
      </c>
      <c r="M10" s="119">
        <v>4</v>
      </c>
      <c r="N10" s="120">
        <v>19</v>
      </c>
      <c r="O10" s="121" t="s">
        <v>20</v>
      </c>
      <c r="P10" s="122"/>
      <c r="Q10" s="27"/>
    </row>
    <row r="11" spans="1:17" ht="5.0999999999999996" customHeight="1" x14ac:dyDescent="0.25">
      <c r="A11" s="112"/>
      <c r="B11" s="123"/>
      <c r="C11" s="124"/>
      <c r="D11" s="114"/>
      <c r="E11" s="125"/>
      <c r="F11" s="126"/>
      <c r="G11" s="127"/>
      <c r="H11" s="115"/>
      <c r="I11" s="116"/>
      <c r="J11" s="117"/>
      <c r="K11" s="124"/>
      <c r="L11" s="123"/>
      <c r="M11" s="128"/>
      <c r="N11" s="120"/>
      <c r="O11" s="121"/>
      <c r="P11" s="122"/>
      <c r="Q11" s="27"/>
    </row>
    <row r="12" spans="1:17" x14ac:dyDescent="0.25">
      <c r="A12" s="112"/>
      <c r="B12" s="167"/>
      <c r="C12" s="113"/>
      <c r="D12" s="114"/>
      <c r="E12" s="115"/>
      <c r="F12" s="116"/>
      <c r="G12" s="117"/>
      <c r="H12" s="115"/>
      <c r="I12" s="116"/>
      <c r="J12" s="117"/>
      <c r="K12" s="118"/>
      <c r="L12" s="114"/>
      <c r="M12" s="119"/>
      <c r="N12" s="120"/>
      <c r="O12" s="121"/>
      <c r="P12" s="122"/>
      <c r="Q12" s="27"/>
    </row>
    <row r="13" spans="1:17" ht="5.0999999999999996" customHeight="1" x14ac:dyDescent="0.25">
      <c r="A13" s="9"/>
      <c r="B13" s="14"/>
      <c r="C13" s="4"/>
      <c r="D13" s="14"/>
      <c r="E13" s="18"/>
      <c r="F13" s="19"/>
      <c r="G13" s="20"/>
      <c r="H13" s="7"/>
      <c r="I13" s="2"/>
      <c r="J13" s="8"/>
      <c r="K13" s="4"/>
      <c r="L13" s="14"/>
      <c r="M13" s="4"/>
      <c r="N13" s="14"/>
      <c r="O13" s="4"/>
      <c r="P13" s="7"/>
      <c r="Q13" s="27"/>
    </row>
    <row r="14" spans="1:17" x14ac:dyDescent="0.25">
      <c r="A14" s="354" t="s">
        <v>11</v>
      </c>
      <c r="B14" s="355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6"/>
      <c r="Q14" s="28"/>
    </row>
    <row r="15" spans="1:17" ht="5.0999999999999996" customHeight="1" x14ac:dyDescent="0.25">
      <c r="B15" s="15"/>
      <c r="D15" s="15"/>
      <c r="E15" s="10"/>
      <c r="F15" s="3"/>
      <c r="G15" s="11"/>
      <c r="H15" s="10"/>
      <c r="I15" s="3"/>
      <c r="J15" s="11"/>
      <c r="L15" s="15"/>
      <c r="N15" s="15"/>
      <c r="P15" s="12"/>
      <c r="Q15" s="27"/>
    </row>
    <row r="16" spans="1:17" x14ac:dyDescent="0.25">
      <c r="A16" s="112" t="s">
        <v>154</v>
      </c>
      <c r="B16" s="167">
        <v>1.77233</v>
      </c>
      <c r="C16" s="113">
        <v>704</v>
      </c>
      <c r="D16" s="114" t="s">
        <v>18</v>
      </c>
      <c r="E16" s="115">
        <v>0.95409999999999995</v>
      </c>
      <c r="F16" s="260">
        <v>4.1999999999999997E-3</v>
      </c>
      <c r="G16" s="261">
        <v>4.1799999999999997E-2</v>
      </c>
      <c r="H16" s="115">
        <v>0.95179999999999998</v>
      </c>
      <c r="I16" s="116">
        <v>4.0000000000000001E-3</v>
      </c>
      <c r="J16" s="117">
        <v>4.4200000000000003E-2</v>
      </c>
      <c r="K16" s="118">
        <v>0.03</v>
      </c>
      <c r="L16" s="114" t="s">
        <v>21</v>
      </c>
      <c r="M16" s="119">
        <v>6</v>
      </c>
      <c r="N16" s="120">
        <v>23</v>
      </c>
      <c r="O16" s="121" t="s">
        <v>20</v>
      </c>
      <c r="P16" s="177">
        <f>92039103.05/1000</f>
        <v>92039.103049999991</v>
      </c>
      <c r="Q16" s="29"/>
    </row>
    <row r="17" spans="1:20" ht="5.0999999999999996" customHeight="1" x14ac:dyDescent="0.25">
      <c r="A17" s="112"/>
      <c r="B17" s="123"/>
      <c r="C17" s="124"/>
      <c r="D17" s="114"/>
      <c r="E17" s="125"/>
      <c r="F17" s="126"/>
      <c r="G17" s="127"/>
      <c r="H17" s="115"/>
      <c r="I17" s="116"/>
      <c r="J17" s="117"/>
      <c r="K17" s="124"/>
      <c r="L17" s="123"/>
      <c r="M17" s="128"/>
      <c r="N17" s="120"/>
      <c r="O17" s="121"/>
      <c r="P17" s="178"/>
      <c r="Q17" s="27"/>
    </row>
    <row r="18" spans="1:20" x14ac:dyDescent="0.25">
      <c r="A18" s="112"/>
      <c r="B18" s="167"/>
      <c r="C18" s="113"/>
      <c r="D18" s="114"/>
      <c r="E18" s="115"/>
      <c r="F18" s="116"/>
      <c r="G18" s="117"/>
      <c r="H18" s="115"/>
      <c r="I18" s="116"/>
      <c r="J18" s="117"/>
      <c r="K18" s="118"/>
      <c r="L18" s="114"/>
      <c r="M18" s="119"/>
      <c r="N18" s="120"/>
      <c r="O18" s="121"/>
      <c r="P18" s="177"/>
      <c r="Q18" s="29"/>
    </row>
    <row r="19" spans="1:20" ht="5.0999999999999996" customHeight="1" x14ac:dyDescent="0.25">
      <c r="B19" s="17"/>
      <c r="C19" s="4"/>
      <c r="D19" s="16"/>
      <c r="E19" s="10"/>
      <c r="F19" s="3"/>
      <c r="G19" s="11"/>
      <c r="H19" s="10"/>
      <c r="I19" s="3"/>
      <c r="J19" s="11"/>
      <c r="L19" s="16"/>
      <c r="N19" s="16"/>
      <c r="P19" s="10"/>
      <c r="Q19" s="27"/>
    </row>
    <row r="20" spans="1:20" x14ac:dyDescent="0.25">
      <c r="L20" s="165" t="s">
        <v>143</v>
      </c>
      <c r="O20" s="166">
        <v>2019</v>
      </c>
      <c r="P20" s="207">
        <v>92039.1</v>
      </c>
      <c r="Q20" s="30"/>
    </row>
    <row r="21" spans="1:20" ht="15.75" thickBot="1" x14ac:dyDescent="0.3">
      <c r="K21" s="164"/>
      <c r="N21" s="165"/>
      <c r="O21" s="166"/>
      <c r="P21" s="229"/>
      <c r="Q21" s="29"/>
      <c r="R21" s="208" t="s">
        <v>113</v>
      </c>
      <c r="S21" s="208" t="s">
        <v>22</v>
      </c>
      <c r="T21" s="208" t="s">
        <v>24</v>
      </c>
    </row>
    <row r="22" spans="1:20" ht="15.75" thickTop="1" x14ac:dyDescent="0.25">
      <c r="K22" s="129"/>
      <c r="L22" s="165"/>
      <c r="M22" s="165"/>
      <c r="N22" s="165"/>
      <c r="O22" s="166"/>
      <c r="P22" s="230"/>
      <c r="Q22" s="31"/>
      <c r="R22" s="209">
        <f>'INDICADORES RENTABILIDAD'!V37/1000</f>
        <v>193.70787904186918</v>
      </c>
      <c r="S22" s="210">
        <f>'INDICADORES RENTABILIDAD'!V38</f>
        <v>0.39149852188521606</v>
      </c>
      <c r="T22" s="210">
        <f>'INDICADORES RENTABILIDAD'!G37</f>
        <v>0.23798493546472302</v>
      </c>
    </row>
    <row r="23" spans="1:20" x14ac:dyDescent="0.25">
      <c r="P23" s="21"/>
      <c r="Q23" s="32"/>
      <c r="R23" s="250" t="s">
        <v>153</v>
      </c>
    </row>
    <row r="24" spans="1:20" x14ac:dyDescent="0.25">
      <c r="P24" s="21"/>
      <c r="Q24" s="32"/>
      <c r="R24" s="108"/>
      <c r="S24" s="130"/>
    </row>
    <row r="25" spans="1:20" x14ac:dyDescent="0.25">
      <c r="P25" s="21"/>
      <c r="Q25" s="32"/>
      <c r="R25" s="108" t="s">
        <v>132</v>
      </c>
      <c r="S25">
        <v>2019</v>
      </c>
    </row>
    <row r="26" spans="1:20" x14ac:dyDescent="0.25">
      <c r="P26" s="21"/>
      <c r="Q26" s="32"/>
      <c r="R26" s="108" t="s">
        <v>131</v>
      </c>
      <c r="S26" s="130">
        <v>2020</v>
      </c>
      <c r="T26" s="184"/>
    </row>
    <row r="27" spans="1:20" x14ac:dyDescent="0.25">
      <c r="P27" s="21"/>
    </row>
    <row r="31" spans="1:20" x14ac:dyDescent="0.25">
      <c r="J31" s="22"/>
    </row>
    <row r="32" spans="1:20" x14ac:dyDescent="0.25">
      <c r="J32" s="22"/>
    </row>
    <row r="33" spans="9:10" x14ac:dyDescent="0.25">
      <c r="J33" s="22"/>
    </row>
    <row r="34" spans="9:10" x14ac:dyDescent="0.25">
      <c r="J34" s="22"/>
    </row>
    <row r="35" spans="9:10" x14ac:dyDescent="0.25">
      <c r="I35" s="22"/>
      <c r="J35" s="22"/>
    </row>
    <row r="36" spans="9:10" x14ac:dyDescent="0.25">
      <c r="I36" s="22"/>
      <c r="J36" s="22"/>
    </row>
    <row r="37" spans="9:10" x14ac:dyDescent="0.25">
      <c r="I37" s="22"/>
      <c r="J37" s="22"/>
    </row>
    <row r="38" spans="9:10" x14ac:dyDescent="0.25">
      <c r="J38" s="22"/>
    </row>
  </sheetData>
  <mergeCells count="17">
    <mergeCell ref="D4:D6"/>
    <mergeCell ref="K4:K6"/>
    <mergeCell ref="A14:P14"/>
    <mergeCell ref="A8:P8"/>
    <mergeCell ref="A1:P1"/>
    <mergeCell ref="A2:P2"/>
    <mergeCell ref="E4:J4"/>
    <mergeCell ref="E5:G5"/>
    <mergeCell ref="H5:J5"/>
    <mergeCell ref="L4:L6"/>
    <mergeCell ref="M4:M6"/>
    <mergeCell ref="N4:N6"/>
    <mergeCell ref="O4:O6"/>
    <mergeCell ref="P4:P6"/>
    <mergeCell ref="A4:A6"/>
    <mergeCell ref="B4:B6"/>
    <mergeCell ref="C4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4"/>
  <sheetViews>
    <sheetView topLeftCell="A28" zoomScale="91" zoomScaleNormal="91" workbookViewId="0">
      <selection activeCell="A40" sqref="A40:XFD59"/>
    </sheetView>
  </sheetViews>
  <sheetFormatPr baseColWidth="10" defaultRowHeight="15" x14ac:dyDescent="0.25"/>
  <cols>
    <col min="1" max="1" width="6.7109375" customWidth="1"/>
    <col min="6" max="6" width="6.7109375" customWidth="1"/>
    <col min="7" max="7" width="2.28515625" customWidth="1"/>
    <col min="8" max="8" width="7.140625" customWidth="1"/>
    <col min="9" max="9" width="2.28515625" customWidth="1"/>
    <col min="10" max="15" width="6.7109375" customWidth="1"/>
    <col min="16" max="16" width="2.28515625" customWidth="1"/>
    <col min="17" max="22" width="7.140625" customWidth="1"/>
    <col min="23" max="23" width="2.28515625" style="69" customWidth="1"/>
    <col min="24" max="24" width="7.85546875" style="69" customWidth="1"/>
    <col min="25" max="26" width="8.140625" style="69" customWidth="1"/>
    <col min="27" max="27" width="8" style="69" customWidth="1"/>
    <col min="28" max="28" width="8.28515625" style="69" customWidth="1"/>
    <col min="29" max="29" width="8.42578125" style="69" customWidth="1"/>
    <col min="30" max="30" width="2.28515625" style="69" customWidth="1"/>
    <col min="31" max="31" width="7.85546875" style="69" customWidth="1"/>
    <col min="32" max="33" width="6.7109375" style="69" customWidth="1"/>
    <col min="34" max="34" width="7.85546875" style="69" customWidth="1"/>
    <col min="35" max="36" width="6.7109375" style="69" customWidth="1"/>
    <col min="37" max="37" width="2.28515625" style="69" customWidth="1"/>
    <col min="38" max="43" width="6.7109375" style="69" customWidth="1"/>
    <col min="44" max="44" width="2.28515625" style="69" customWidth="1"/>
    <col min="45" max="50" width="6.7109375" style="69" customWidth="1"/>
    <col min="51" max="51" width="2.28515625" customWidth="1"/>
    <col min="52" max="54" width="17.140625" customWidth="1"/>
    <col min="55" max="55" width="2.28515625" customWidth="1"/>
    <col min="56" max="58" width="14.85546875" customWidth="1"/>
    <col min="59" max="59" width="15.85546875" customWidth="1"/>
  </cols>
  <sheetData>
    <row r="1" spans="1:62" s="69" customFormat="1" ht="31.5" x14ac:dyDescent="0.25">
      <c r="A1" s="357" t="s">
        <v>162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  <c r="AX1" s="357"/>
      <c r="AY1" s="357"/>
      <c r="AZ1" s="357"/>
      <c r="BA1" s="357"/>
      <c r="BB1" s="357"/>
      <c r="BC1" s="357"/>
      <c r="BD1" s="357"/>
      <c r="BE1" s="357"/>
      <c r="BF1" s="357"/>
      <c r="BG1" s="357"/>
    </row>
    <row r="2" spans="1:62" x14ac:dyDescent="0.25">
      <c r="BI2" s="367" t="s">
        <v>95</v>
      </c>
      <c r="BJ2" s="367"/>
    </row>
    <row r="3" spans="1:62" ht="12" customHeight="1" x14ac:dyDescent="0.25">
      <c r="A3" s="374" t="s">
        <v>25</v>
      </c>
      <c r="B3" s="375"/>
      <c r="C3" s="375"/>
      <c r="D3" s="375"/>
      <c r="E3" s="375"/>
      <c r="F3" s="376"/>
      <c r="H3" s="368" t="s">
        <v>59</v>
      </c>
      <c r="I3" s="233"/>
      <c r="J3" s="370" t="s">
        <v>61</v>
      </c>
      <c r="K3" s="370"/>
      <c r="L3" s="370"/>
      <c r="M3" s="370"/>
      <c r="N3" s="370"/>
      <c r="O3" s="370"/>
      <c r="P3" s="233"/>
      <c r="Q3" s="370" t="s">
        <v>62</v>
      </c>
      <c r="R3" s="370"/>
      <c r="S3" s="370"/>
      <c r="T3" s="370"/>
      <c r="U3" s="370"/>
      <c r="V3" s="370"/>
      <c r="W3" s="233"/>
      <c r="X3" s="370" t="s">
        <v>63</v>
      </c>
      <c r="Y3" s="370"/>
      <c r="Z3" s="370"/>
      <c r="AA3" s="370"/>
      <c r="AB3" s="370"/>
      <c r="AC3" s="370"/>
      <c r="AD3" s="233"/>
      <c r="AE3" s="370" t="s">
        <v>64</v>
      </c>
      <c r="AF3" s="370"/>
      <c r="AG3" s="370"/>
      <c r="AH3" s="370"/>
      <c r="AI3" s="370"/>
      <c r="AJ3" s="370"/>
      <c r="AK3" s="233"/>
      <c r="AL3" s="370" t="s">
        <v>67</v>
      </c>
      <c r="AM3" s="370"/>
      <c r="AN3" s="370"/>
      <c r="AO3" s="370"/>
      <c r="AP3" s="370"/>
      <c r="AQ3" s="370"/>
      <c r="AR3" s="233"/>
      <c r="AS3" s="370" t="s">
        <v>72</v>
      </c>
      <c r="AT3" s="370"/>
      <c r="AU3" s="370"/>
      <c r="AV3" s="370"/>
      <c r="AW3" s="370"/>
      <c r="AX3" s="370"/>
      <c r="AY3" s="233"/>
      <c r="AZ3" s="373" t="s">
        <v>73</v>
      </c>
      <c r="BA3" s="373"/>
      <c r="BB3" s="373"/>
      <c r="BC3" s="233"/>
      <c r="BD3" s="373" t="s">
        <v>74</v>
      </c>
      <c r="BE3" s="373"/>
      <c r="BF3" s="373"/>
      <c r="BG3" s="373"/>
    </row>
    <row r="4" spans="1:62" ht="12" customHeight="1" x14ac:dyDescent="0.25">
      <c r="A4" s="43"/>
      <c r="B4" s="44"/>
      <c r="C4" s="38" t="s">
        <v>26</v>
      </c>
      <c r="D4" s="277">
        <f>'DATOS DE EVALUACION'!B10</f>
        <v>4.5999999999999996</v>
      </c>
      <c r="E4" s="34" t="s">
        <v>56</v>
      </c>
      <c r="F4" s="45"/>
      <c r="H4" s="368"/>
      <c r="I4" s="233"/>
      <c r="J4" s="371" t="s">
        <v>138</v>
      </c>
      <c r="K4" s="371"/>
      <c r="L4" s="371"/>
      <c r="M4" s="372" t="s">
        <v>155</v>
      </c>
      <c r="N4" s="371"/>
      <c r="O4" s="371"/>
      <c r="P4" s="233"/>
      <c r="Q4" s="371" t="s">
        <v>138</v>
      </c>
      <c r="R4" s="371"/>
      <c r="S4" s="371"/>
      <c r="T4" s="372" t="s">
        <v>155</v>
      </c>
      <c r="U4" s="371"/>
      <c r="V4" s="371"/>
      <c r="W4" s="233"/>
      <c r="X4" s="371" t="s">
        <v>138</v>
      </c>
      <c r="Y4" s="371"/>
      <c r="Z4" s="371"/>
      <c r="AA4" s="372" t="s">
        <v>155</v>
      </c>
      <c r="AB4" s="371"/>
      <c r="AC4" s="371"/>
      <c r="AD4" s="233"/>
      <c r="AE4" s="371" t="s">
        <v>138</v>
      </c>
      <c r="AF4" s="371"/>
      <c r="AG4" s="371"/>
      <c r="AH4" s="372" t="s">
        <v>155</v>
      </c>
      <c r="AI4" s="371"/>
      <c r="AJ4" s="371"/>
      <c r="AK4" s="233"/>
      <c r="AL4" s="371" t="s">
        <v>138</v>
      </c>
      <c r="AM4" s="371"/>
      <c r="AN4" s="371"/>
      <c r="AO4" s="372" t="s">
        <v>155</v>
      </c>
      <c r="AP4" s="371"/>
      <c r="AQ4" s="371"/>
      <c r="AR4" s="233"/>
      <c r="AS4" s="371" t="s">
        <v>138</v>
      </c>
      <c r="AT4" s="371"/>
      <c r="AU4" s="371"/>
      <c r="AV4" s="372" t="s">
        <v>155</v>
      </c>
      <c r="AW4" s="371"/>
      <c r="AX4" s="371"/>
      <c r="AY4" s="233"/>
      <c r="AZ4" s="373"/>
      <c r="BA4" s="373"/>
      <c r="BB4" s="373"/>
      <c r="BC4" s="233"/>
      <c r="BD4" s="373"/>
      <c r="BE4" s="373"/>
      <c r="BF4" s="373"/>
      <c r="BG4" s="373"/>
    </row>
    <row r="5" spans="1:62" ht="12" customHeight="1" thickBot="1" x14ac:dyDescent="0.3">
      <c r="A5" s="46"/>
      <c r="B5" s="42"/>
      <c r="C5" s="36" t="s">
        <v>27</v>
      </c>
      <c r="D5" s="278">
        <f>'DATOS DE EVALUACION'!C10</f>
        <v>1006</v>
      </c>
      <c r="E5" s="48" t="s">
        <v>55</v>
      </c>
      <c r="F5" s="47"/>
      <c r="H5" s="369"/>
      <c r="I5" s="233"/>
      <c r="J5" s="234" t="s">
        <v>21</v>
      </c>
      <c r="K5" s="235" t="s">
        <v>60</v>
      </c>
      <c r="L5" s="236" t="s">
        <v>19</v>
      </c>
      <c r="M5" s="237" t="s">
        <v>21</v>
      </c>
      <c r="N5" s="235" t="s">
        <v>60</v>
      </c>
      <c r="O5" s="236" t="s">
        <v>19</v>
      </c>
      <c r="P5" s="233"/>
      <c r="Q5" s="234" t="s">
        <v>21</v>
      </c>
      <c r="R5" s="235" t="s">
        <v>60</v>
      </c>
      <c r="S5" s="236" t="s">
        <v>19</v>
      </c>
      <c r="T5" s="237" t="s">
        <v>21</v>
      </c>
      <c r="U5" s="235" t="s">
        <v>60</v>
      </c>
      <c r="V5" s="236" t="s">
        <v>19</v>
      </c>
      <c r="W5" s="233"/>
      <c r="X5" s="234" t="s">
        <v>21</v>
      </c>
      <c r="Y5" s="235" t="s">
        <v>60</v>
      </c>
      <c r="Z5" s="236" t="s">
        <v>19</v>
      </c>
      <c r="AA5" s="237" t="s">
        <v>21</v>
      </c>
      <c r="AB5" s="235" t="s">
        <v>60</v>
      </c>
      <c r="AC5" s="236" t="s">
        <v>19</v>
      </c>
      <c r="AD5" s="233"/>
      <c r="AE5" s="234" t="s">
        <v>21</v>
      </c>
      <c r="AF5" s="235" t="s">
        <v>60</v>
      </c>
      <c r="AG5" s="236" t="s">
        <v>19</v>
      </c>
      <c r="AH5" s="237" t="s">
        <v>21</v>
      </c>
      <c r="AI5" s="235" t="s">
        <v>60</v>
      </c>
      <c r="AJ5" s="236" t="s">
        <v>19</v>
      </c>
      <c r="AK5" s="233"/>
      <c r="AL5" s="234" t="s">
        <v>21</v>
      </c>
      <c r="AM5" s="235" t="s">
        <v>60</v>
      </c>
      <c r="AN5" s="236" t="s">
        <v>19</v>
      </c>
      <c r="AO5" s="237" t="s">
        <v>21</v>
      </c>
      <c r="AP5" s="235" t="s">
        <v>60</v>
      </c>
      <c r="AQ5" s="236" t="s">
        <v>19</v>
      </c>
      <c r="AR5" s="233"/>
      <c r="AS5" s="234" t="s">
        <v>21</v>
      </c>
      <c r="AT5" s="235" t="s">
        <v>60</v>
      </c>
      <c r="AU5" s="236" t="s">
        <v>19</v>
      </c>
      <c r="AV5" s="237" t="s">
        <v>21</v>
      </c>
      <c r="AW5" s="235" t="s">
        <v>60</v>
      </c>
      <c r="AX5" s="236" t="s">
        <v>19</v>
      </c>
      <c r="AY5" s="233"/>
      <c r="AZ5" s="198" t="s">
        <v>68</v>
      </c>
      <c r="BA5" s="199" t="s">
        <v>79</v>
      </c>
      <c r="BB5" s="200" t="s">
        <v>69</v>
      </c>
      <c r="BC5" s="233"/>
      <c r="BD5" s="201" t="s">
        <v>75</v>
      </c>
      <c r="BE5" s="202" t="s">
        <v>76</v>
      </c>
      <c r="BF5" s="202" t="s">
        <v>77</v>
      </c>
      <c r="BG5" s="201" t="s">
        <v>78</v>
      </c>
    </row>
    <row r="6" spans="1:62" s="33" customFormat="1" ht="12" customHeight="1" thickTop="1" x14ac:dyDescent="0.25">
      <c r="A6" s="168"/>
      <c r="B6" s="377" t="s">
        <v>138</v>
      </c>
      <c r="C6" s="377"/>
      <c r="D6" s="377" t="s">
        <v>137</v>
      </c>
      <c r="E6" s="377"/>
      <c r="F6" s="169"/>
      <c r="H6" s="238">
        <v>0</v>
      </c>
      <c r="I6" s="239"/>
      <c r="J6" s="303">
        <v>470.71000000000004</v>
      </c>
      <c r="K6" s="244">
        <v>2.06</v>
      </c>
      <c r="L6" s="245">
        <v>20.6</v>
      </c>
      <c r="M6" s="295">
        <v>488.22</v>
      </c>
      <c r="N6" s="296">
        <v>2.06</v>
      </c>
      <c r="O6" s="297">
        <v>22.66</v>
      </c>
      <c r="P6" s="239"/>
      <c r="Q6" s="298">
        <v>53</v>
      </c>
      <c r="R6" s="299">
        <v>50</v>
      </c>
      <c r="S6" s="300">
        <v>45</v>
      </c>
      <c r="T6" s="301">
        <v>46</v>
      </c>
      <c r="U6" s="302">
        <v>44</v>
      </c>
      <c r="V6" s="301">
        <v>42</v>
      </c>
      <c r="W6" s="239"/>
      <c r="X6" s="246">
        <v>15.449200000000001</v>
      </c>
      <c r="Y6" s="241">
        <v>34.967849999999999</v>
      </c>
      <c r="Z6" s="242">
        <v>27.96</v>
      </c>
      <c r="AA6" s="240">
        <v>16.279969999999999</v>
      </c>
      <c r="AB6" s="241">
        <v>35.505859999999998</v>
      </c>
      <c r="AC6" s="242">
        <v>28.17295</v>
      </c>
      <c r="AD6" s="239"/>
      <c r="AE6" s="346">
        <f t="shared" ref="AE6:AE21" si="0">((X6*$D$4)*J6)/1000</f>
        <v>33.451627487200007</v>
      </c>
      <c r="AF6" s="347">
        <f t="shared" ref="AF6:AF21" si="1">((Y6*$D$4)*K6)/1000</f>
        <v>0.33135534659999999</v>
      </c>
      <c r="AG6" s="348">
        <f t="shared" ref="AG6:AG21" si="2">((Z6*$D$4)*L6)/1000</f>
        <v>2.6494895999999999</v>
      </c>
      <c r="AH6" s="349">
        <f t="shared" ref="AH6:AH21" si="3">((AA6*$D$4)*M6)/1000</f>
        <v>36.561751985639994</v>
      </c>
      <c r="AI6" s="347">
        <f t="shared" ref="AI6:AI21" si="4">((AB6*$D$4)*N6)/1000</f>
        <v>0.33645352935999995</v>
      </c>
      <c r="AJ6" s="350">
        <f t="shared" ref="AJ6:AJ21" si="5">((AC6*$D$4)*O6)/1000</f>
        <v>2.9366356161999998</v>
      </c>
      <c r="AK6" s="239"/>
      <c r="AL6" s="86">
        <f t="shared" ref="AL6:AL21" si="6">$D$4/Q6</f>
        <v>8.6792452830188674E-2</v>
      </c>
      <c r="AM6" s="87">
        <f t="shared" ref="AM6:AM21" si="7">$D$4/R6</f>
        <v>9.1999999999999998E-2</v>
      </c>
      <c r="AN6" s="95">
        <f t="shared" ref="AN6:AN21" si="8">$D$4/S6</f>
        <v>0.10222222222222221</v>
      </c>
      <c r="AO6" s="232">
        <f t="shared" ref="AO6:AO21" si="9">$D$4/T6</f>
        <v>9.9999999999999992E-2</v>
      </c>
      <c r="AP6" s="87">
        <f t="shared" ref="AP6:AP21" si="10">$D$4/U6</f>
        <v>0.10454545454545454</v>
      </c>
      <c r="AQ6" s="189">
        <f t="shared" ref="AQ6:AQ21" si="11">$D$4/V6</f>
        <v>0.10952380952380951</v>
      </c>
      <c r="AR6" s="239"/>
      <c r="AS6" s="86">
        <f t="shared" ref="AS6:AS21" si="12">(((AL6*$D$14)*$D$17)*J6)/1000</f>
        <v>4.1058345849056606</v>
      </c>
      <c r="AT6" s="87">
        <f t="shared" ref="AT6:AT21" si="13">(((AM6*$D$14)*$D$18)*K6)/1000</f>
        <v>0.21903774000000001</v>
      </c>
      <c r="AU6" s="83">
        <f t="shared" ref="AU6:AU21" si="14">(AN6*L6*($D$14*0))/1000</f>
        <v>0</v>
      </c>
      <c r="AV6" s="232">
        <f t="shared" ref="AV6:AV21" si="15">(AO6*M6*($D$14*$D$17))/1000</f>
        <v>4.9066109999999998</v>
      </c>
      <c r="AW6" s="87">
        <f t="shared" ref="AW6:AW21" si="16">(AP6*N6*($D$14*$D$18))/1000</f>
        <v>0.24890652272727273</v>
      </c>
      <c r="AX6" s="187">
        <f t="shared" ref="AX6:AX21" si="17">(AQ6*O6*($D$14*0))/1000</f>
        <v>0</v>
      </c>
      <c r="AY6" s="239"/>
      <c r="BA6" s="171"/>
      <c r="BB6" s="306"/>
      <c r="BC6" s="239"/>
      <c r="BD6" s="70">
        <f t="shared" ref="BD6:BD21" si="18">(AE6+AF6+AG6+AH6+AI6+AJ6)*365</f>
        <v>27837.569451224997</v>
      </c>
      <c r="BE6" s="94">
        <f t="shared" ref="BE6:BE21" si="19">(AS6+AT6+AU6+AV6+AW6+AX6)*365</f>
        <v>3460.3422943860205</v>
      </c>
      <c r="BF6" s="173">
        <f t="shared" ref="BF6:BF21" si="20">AZ6+BA6+BB6</f>
        <v>0</v>
      </c>
      <c r="BG6" s="70">
        <f t="shared" ref="BG6:BG21" si="21">SUM(BD6:BF6)</f>
        <v>31297.911745611018</v>
      </c>
    </row>
    <row r="7" spans="1:62" ht="12" customHeight="1" x14ac:dyDescent="0.25">
      <c r="A7" s="46"/>
      <c r="B7" s="57" t="s">
        <v>28</v>
      </c>
      <c r="C7" s="279">
        <f>'DATOS DE EVALUACION'!E10</f>
        <v>0.95550000000000002</v>
      </c>
      <c r="D7" s="57" t="s">
        <v>28</v>
      </c>
      <c r="E7" s="279">
        <f>'DATOS DE EVALUACION'!H10</f>
        <v>0.95120000000000005</v>
      </c>
      <c r="F7" s="47"/>
      <c r="H7" s="243">
        <v>1</v>
      </c>
      <c r="I7" s="233"/>
      <c r="J7" s="304">
        <v>484.83130000000006</v>
      </c>
      <c r="K7" s="244">
        <v>2.1217999999999999</v>
      </c>
      <c r="L7" s="245">
        <v>21.218000000000004</v>
      </c>
      <c r="M7" s="295">
        <v>502.86660000000006</v>
      </c>
      <c r="N7" s="296">
        <v>2.1217999999999999</v>
      </c>
      <c r="O7" s="297">
        <v>23.3398</v>
      </c>
      <c r="P7" s="233"/>
      <c r="Q7" s="298">
        <v>51.456310679611647</v>
      </c>
      <c r="R7" s="299">
        <v>48.543689320388353</v>
      </c>
      <c r="S7" s="300">
        <v>43.689320388349515</v>
      </c>
      <c r="T7" s="301">
        <v>44.660194174757279</v>
      </c>
      <c r="U7" s="302">
        <v>42.71844660194175</v>
      </c>
      <c r="V7" s="301">
        <v>40.776699029126213</v>
      </c>
      <c r="W7" s="233"/>
      <c r="X7" s="246">
        <v>15.663069999999999</v>
      </c>
      <c r="Y7" s="241">
        <v>35.027800000000006</v>
      </c>
      <c r="Z7" s="242">
        <v>28.00507</v>
      </c>
      <c r="AA7" s="240">
        <v>16.565439999999999</v>
      </c>
      <c r="AB7" s="241">
        <v>35.60783</v>
      </c>
      <c r="AC7" s="242">
        <v>28.235299999999999</v>
      </c>
      <c r="AD7" s="233"/>
      <c r="AE7" s="346">
        <f t="shared" si="0"/>
        <v>34.932154314418597</v>
      </c>
      <c r="AF7" s="347">
        <f t="shared" si="1"/>
        <v>0.34188113578399998</v>
      </c>
      <c r="AG7" s="348">
        <f t="shared" si="2"/>
        <v>2.7333732461960003</v>
      </c>
      <c r="AH7" s="349">
        <f t="shared" si="3"/>
        <v>38.318949855398401</v>
      </c>
      <c r="AI7" s="347">
        <f t="shared" si="4"/>
        <v>0.34754239099239992</v>
      </c>
      <c r="AJ7" s="350">
        <f t="shared" si="5"/>
        <v>3.0314287727239999</v>
      </c>
      <c r="AK7" s="233"/>
      <c r="AL7" s="86">
        <f t="shared" si="6"/>
        <v>8.9396226415094343E-2</v>
      </c>
      <c r="AM7" s="87">
        <f t="shared" si="7"/>
        <v>9.4759999999999983E-2</v>
      </c>
      <c r="AN7" s="95">
        <f t="shared" si="8"/>
        <v>0.10528888888888888</v>
      </c>
      <c r="AO7" s="232">
        <f t="shared" si="9"/>
        <v>0.10299999999999999</v>
      </c>
      <c r="AP7" s="87">
        <f t="shared" si="10"/>
        <v>0.10768181818181817</v>
      </c>
      <c r="AQ7" s="189">
        <f t="shared" si="11"/>
        <v>0.1128095238095238</v>
      </c>
      <c r="AR7" s="233"/>
      <c r="AS7" s="86">
        <f t="shared" si="12"/>
        <v>4.355879911126415</v>
      </c>
      <c r="AT7" s="87">
        <f t="shared" si="13"/>
        <v>0.23237713836599994</v>
      </c>
      <c r="AU7" s="83">
        <f t="shared" si="14"/>
        <v>0</v>
      </c>
      <c r="AV7" s="232">
        <f t="shared" si="15"/>
        <v>5.2054236099000004</v>
      </c>
      <c r="AW7" s="87">
        <f t="shared" si="16"/>
        <v>0.2640649299613636</v>
      </c>
      <c r="AX7" s="187">
        <f t="shared" si="17"/>
        <v>0</v>
      </c>
      <c r="AY7" s="233"/>
      <c r="AZ7" s="86">
        <f>($D$23*$D$4*$D$27)/1000</f>
        <v>829.93416857142847</v>
      </c>
      <c r="BA7" s="72"/>
      <c r="BB7" s="187"/>
      <c r="BC7" s="233"/>
      <c r="BD7" s="70">
        <f t="shared" si="18"/>
        <v>29092.445346162393</v>
      </c>
      <c r="BE7" s="94">
        <f t="shared" si="19"/>
        <v>3671.0771401141292</v>
      </c>
      <c r="BF7" s="173">
        <f t="shared" si="20"/>
        <v>829.93416857142847</v>
      </c>
      <c r="BG7" s="70">
        <f t="shared" si="21"/>
        <v>33593.456654847949</v>
      </c>
    </row>
    <row r="8" spans="1:62" ht="12" customHeight="1" x14ac:dyDescent="0.25">
      <c r="A8" s="46"/>
      <c r="B8" s="57" t="s">
        <v>29</v>
      </c>
      <c r="C8" s="279">
        <f>'DATOS DE EVALUACION'!F10</f>
        <v>4.0000000000000001E-3</v>
      </c>
      <c r="D8" s="57" t="s">
        <v>29</v>
      </c>
      <c r="E8" s="279">
        <f>'DATOS DE EVALUACION'!I10</f>
        <v>3.8E-3</v>
      </c>
      <c r="F8" s="47"/>
      <c r="H8" s="243">
        <v>2</v>
      </c>
      <c r="I8" s="233"/>
      <c r="J8" s="304">
        <v>499.37623900000006</v>
      </c>
      <c r="K8" s="244">
        <v>2.185454</v>
      </c>
      <c r="L8" s="245">
        <v>21.854540000000004</v>
      </c>
      <c r="M8" s="295">
        <v>517.95259800000008</v>
      </c>
      <c r="N8" s="296">
        <v>2.185454</v>
      </c>
      <c r="O8" s="297">
        <v>24.039994</v>
      </c>
      <c r="P8" s="233"/>
      <c r="Q8" s="298">
        <v>49.957583184088975</v>
      </c>
      <c r="R8" s="299">
        <v>47.129795456687717</v>
      </c>
      <c r="S8" s="300">
        <v>42.416815911018944</v>
      </c>
      <c r="T8" s="301">
        <v>43.359411820152701</v>
      </c>
      <c r="U8" s="302">
        <v>41.474220001885193</v>
      </c>
      <c r="V8" s="301">
        <v>39.589028183617685</v>
      </c>
      <c r="W8" s="233"/>
      <c r="X8" s="246">
        <v>15.77656</v>
      </c>
      <c r="Y8" s="241">
        <v>35.239959999999996</v>
      </c>
      <c r="Z8" s="242">
        <v>28.17295</v>
      </c>
      <c r="AA8" s="240">
        <v>16.877130000000001</v>
      </c>
      <c r="AB8" s="241">
        <v>35.833949999999994</v>
      </c>
      <c r="AC8" s="242">
        <v>28.3704</v>
      </c>
      <c r="AD8" s="233"/>
      <c r="AE8" s="346">
        <f t="shared" si="0"/>
        <v>36.240820306926068</v>
      </c>
      <c r="AF8" s="347">
        <f t="shared" si="1"/>
        <v>0.35427043309246392</v>
      </c>
      <c r="AG8" s="348">
        <f t="shared" si="2"/>
        <v>2.8322515683878002</v>
      </c>
      <c r="AH8" s="349">
        <f t="shared" si="3"/>
        <v>40.211145319305217</v>
      </c>
      <c r="AI8" s="347">
        <f t="shared" si="4"/>
        <v>0.36024186707117989</v>
      </c>
      <c r="AJ8" s="350">
        <f t="shared" si="5"/>
        <v>3.1373115305769597</v>
      </c>
      <c r="AK8" s="233"/>
      <c r="AL8" s="86">
        <f t="shared" si="6"/>
        <v>9.2078113207547177E-2</v>
      </c>
      <c r="AM8" s="87">
        <f t="shared" si="7"/>
        <v>9.760279999999999E-2</v>
      </c>
      <c r="AN8" s="95">
        <f t="shared" si="8"/>
        <v>0.10844755555555555</v>
      </c>
      <c r="AO8" s="232">
        <f t="shared" si="9"/>
        <v>0.10608999999999999</v>
      </c>
      <c r="AP8" s="87">
        <f t="shared" si="10"/>
        <v>0.11091227272727272</v>
      </c>
      <c r="AQ8" s="189">
        <f t="shared" si="11"/>
        <v>0.1161938095238095</v>
      </c>
      <c r="AR8" s="233"/>
      <c r="AS8" s="86">
        <f t="shared" si="12"/>
        <v>4.621152997714014</v>
      </c>
      <c r="AT8" s="87">
        <f t="shared" si="13"/>
        <v>0.24652890609248934</v>
      </c>
      <c r="AU8" s="83">
        <f t="shared" si="14"/>
        <v>0</v>
      </c>
      <c r="AV8" s="232">
        <f t="shared" si="15"/>
        <v>5.5224339077429105</v>
      </c>
      <c r="AW8" s="87">
        <f t="shared" si="16"/>
        <v>0.28014648419601068</v>
      </c>
      <c r="AX8" s="187">
        <f t="shared" si="17"/>
        <v>0</v>
      </c>
      <c r="AY8" s="233"/>
      <c r="AZ8" s="86">
        <f>($D$23*$D$4*$D$27)/1000</f>
        <v>829.93416857142847</v>
      </c>
      <c r="BA8" s="72"/>
      <c r="BB8" s="187"/>
      <c r="BC8" s="233"/>
      <c r="BD8" s="70">
        <f t="shared" si="18"/>
        <v>30344.654974256293</v>
      </c>
      <c r="BE8" s="94">
        <f t="shared" si="19"/>
        <v>3894.6457379470803</v>
      </c>
      <c r="BF8" s="173">
        <f t="shared" si="20"/>
        <v>829.93416857142847</v>
      </c>
      <c r="BG8" s="70">
        <f t="shared" si="21"/>
        <v>35069.234880774806</v>
      </c>
    </row>
    <row r="9" spans="1:62" ht="12" customHeight="1" x14ac:dyDescent="0.25">
      <c r="A9" s="46"/>
      <c r="B9" s="57" t="s">
        <v>30</v>
      </c>
      <c r="C9" s="279">
        <f>'DATOS DE EVALUACION'!G10</f>
        <v>4.2500000000000003E-2</v>
      </c>
      <c r="D9" s="57" t="s">
        <v>30</v>
      </c>
      <c r="E9" s="279">
        <f>'DATOS DE EVALUACION'!J10</f>
        <v>4.4400000000000002E-2</v>
      </c>
      <c r="F9" s="47"/>
      <c r="H9" s="243">
        <v>3</v>
      </c>
      <c r="I9" s="233"/>
      <c r="J9" s="304">
        <v>514.35752617000003</v>
      </c>
      <c r="K9" s="244">
        <v>2.2510176200000003</v>
      </c>
      <c r="L9" s="245">
        <v>22.510176200000004</v>
      </c>
      <c r="M9" s="295">
        <v>533.49117594000006</v>
      </c>
      <c r="N9" s="296">
        <v>2.2510176200000003</v>
      </c>
      <c r="O9" s="297">
        <v>24.761193819999999</v>
      </c>
      <c r="P9" s="233"/>
      <c r="Q9" s="298">
        <v>48.502507945717454</v>
      </c>
      <c r="R9" s="299">
        <v>45.757082967657972</v>
      </c>
      <c r="S9" s="300">
        <v>41.181374670892183</v>
      </c>
      <c r="T9" s="301">
        <v>42.096516330245343</v>
      </c>
      <c r="U9" s="302">
        <v>40.266233011539015</v>
      </c>
      <c r="V9" s="301">
        <v>38.435949692832708</v>
      </c>
      <c r="W9" s="233"/>
      <c r="X9" s="246">
        <v>15.894729999999999</v>
      </c>
      <c r="Y9" s="241">
        <v>35.322249999999997</v>
      </c>
      <c r="Z9" s="242">
        <v>28.235299999999999</v>
      </c>
      <c r="AA9" s="240">
        <v>17.043860000000002</v>
      </c>
      <c r="AB9" s="241">
        <v>35.958940000000005</v>
      </c>
      <c r="AC9" s="242">
        <v>28.60144</v>
      </c>
      <c r="AD9" s="233"/>
      <c r="AE9" s="346">
        <f t="shared" si="0"/>
        <v>37.607640408924382</v>
      </c>
      <c r="AF9" s="347">
        <f t="shared" si="1"/>
        <v>0.36575063278900699</v>
      </c>
      <c r="AG9" s="348">
        <f t="shared" si="2"/>
        <v>2.9236752590753561</v>
      </c>
      <c r="AH9" s="349">
        <f t="shared" si="3"/>
        <v>41.826645004200962</v>
      </c>
      <c r="AI9" s="347">
        <f t="shared" si="4"/>
        <v>0.37234335466800489</v>
      </c>
      <c r="AJ9" s="350">
        <f t="shared" si="5"/>
        <v>3.2577466771070633</v>
      </c>
      <c r="AK9" s="233"/>
      <c r="AL9" s="86">
        <f t="shared" si="6"/>
        <v>9.484045660377359E-2</v>
      </c>
      <c r="AM9" s="87">
        <f t="shared" si="7"/>
        <v>0.100530884</v>
      </c>
      <c r="AN9" s="95">
        <f t="shared" si="8"/>
        <v>0.1117009822222222</v>
      </c>
      <c r="AO9" s="232">
        <f t="shared" si="9"/>
        <v>0.10927269999999999</v>
      </c>
      <c r="AP9" s="87">
        <f t="shared" si="10"/>
        <v>0.11423964090909092</v>
      </c>
      <c r="AQ9" s="189">
        <f t="shared" si="11"/>
        <v>0.11967962380952378</v>
      </c>
      <c r="AR9" s="233"/>
      <c r="AS9" s="86">
        <f t="shared" si="12"/>
        <v>4.9025812152747985</v>
      </c>
      <c r="AT9" s="87">
        <f t="shared" si="13"/>
        <v>0.26154251647352206</v>
      </c>
      <c r="AU9" s="83">
        <f t="shared" si="14"/>
        <v>0</v>
      </c>
      <c r="AV9" s="232">
        <f t="shared" si="15"/>
        <v>5.8587501327244524</v>
      </c>
      <c r="AW9" s="87">
        <f t="shared" si="16"/>
        <v>0.29720740508354776</v>
      </c>
      <c r="AX9" s="187">
        <f t="shared" si="17"/>
        <v>0</v>
      </c>
      <c r="AY9" s="233"/>
      <c r="AZ9" s="86">
        <f>($D$23*$D$4*$D$27)/1000</f>
        <v>829.93416857142847</v>
      </c>
      <c r="BA9" s="72"/>
      <c r="BB9" s="187"/>
      <c r="BC9" s="233"/>
      <c r="BD9" s="70">
        <f t="shared" si="18"/>
        <v>31519.137487919143</v>
      </c>
      <c r="BE9" s="94">
        <f t="shared" si="19"/>
        <v>4131.8296633880573</v>
      </c>
      <c r="BF9" s="173">
        <f t="shared" si="20"/>
        <v>829.93416857142847</v>
      </c>
      <c r="BG9" s="70">
        <f t="shared" si="21"/>
        <v>36480.901319878634</v>
      </c>
    </row>
    <row r="10" spans="1:62" ht="12" customHeight="1" x14ac:dyDescent="0.25">
      <c r="A10" s="46"/>
      <c r="B10" s="42"/>
      <c r="C10" s="36" t="s">
        <v>2</v>
      </c>
      <c r="D10" s="53" t="str">
        <f>'DATOS DE EVALUACION'!D10</f>
        <v>P</v>
      </c>
      <c r="E10" s="48" t="s">
        <v>31</v>
      </c>
      <c r="F10" s="47"/>
      <c r="H10" s="243">
        <v>4</v>
      </c>
      <c r="I10" s="233"/>
      <c r="J10" s="304">
        <v>529.78825195510001</v>
      </c>
      <c r="K10" s="244">
        <v>2.3185481486000001</v>
      </c>
      <c r="L10" s="245">
        <v>23.185481486000004</v>
      </c>
      <c r="M10" s="295">
        <v>549.49591121820004</v>
      </c>
      <c r="N10" s="296">
        <v>2.3185481486000001</v>
      </c>
      <c r="O10" s="297">
        <v>25.504029634599998</v>
      </c>
      <c r="P10" s="233"/>
      <c r="Q10" s="298">
        <v>47.089813539531512</v>
      </c>
      <c r="R10" s="299">
        <v>44.424352395784446</v>
      </c>
      <c r="S10" s="300">
        <v>39.981917156206002</v>
      </c>
      <c r="T10" s="301">
        <v>40.870404204121691</v>
      </c>
      <c r="U10" s="302">
        <v>39.093430108290313</v>
      </c>
      <c r="V10" s="301">
        <v>37.316456012458943</v>
      </c>
      <c r="W10" s="233"/>
      <c r="X10" s="246">
        <v>16.146149999999999</v>
      </c>
      <c r="Y10" s="241">
        <v>35.505859999999998</v>
      </c>
      <c r="Z10" s="242">
        <v>28.3704</v>
      </c>
      <c r="AA10" s="240">
        <v>17.21846</v>
      </c>
      <c r="AB10" s="241">
        <v>36.092519999999993</v>
      </c>
      <c r="AC10" s="242">
        <v>28.68676</v>
      </c>
      <c r="AD10" s="233"/>
      <c r="AE10" s="346">
        <f t="shared" si="0"/>
        <v>39.348586687802246</v>
      </c>
      <c r="AF10" s="347">
        <f t="shared" si="1"/>
        <v>0.37868141145027362</v>
      </c>
      <c r="AG10" s="348">
        <f t="shared" si="2"/>
        <v>3.0257943661719069</v>
      </c>
      <c r="AH10" s="349">
        <f t="shared" si="3"/>
        <v>43.522777490380989</v>
      </c>
      <c r="AI10" s="347">
        <f t="shared" si="4"/>
        <v>0.3849383289518189</v>
      </c>
      <c r="AJ10" s="350">
        <f t="shared" si="5"/>
        <v>3.3654886949390255</v>
      </c>
      <c r="AK10" s="233"/>
      <c r="AL10" s="86">
        <f t="shared" si="6"/>
        <v>9.7685670301886782E-2</v>
      </c>
      <c r="AM10" s="87">
        <f t="shared" si="7"/>
        <v>0.10354681051999999</v>
      </c>
      <c r="AN10" s="95">
        <f t="shared" si="8"/>
        <v>0.11505201168888887</v>
      </c>
      <c r="AO10" s="232">
        <f t="shared" si="9"/>
        <v>0.11255088099999999</v>
      </c>
      <c r="AP10" s="87">
        <f t="shared" si="10"/>
        <v>0.11766683013636363</v>
      </c>
      <c r="AQ10" s="189">
        <f t="shared" si="11"/>
        <v>0.12327001252380948</v>
      </c>
      <c r="AR10" s="233"/>
      <c r="AS10" s="86">
        <f t="shared" si="12"/>
        <v>5.2011484112850317</v>
      </c>
      <c r="AT10" s="87">
        <f t="shared" si="13"/>
        <v>0.27747045572675944</v>
      </c>
      <c r="AU10" s="83">
        <f t="shared" si="14"/>
        <v>0</v>
      </c>
      <c r="AV10" s="232">
        <f t="shared" si="15"/>
        <v>6.2155480158073724</v>
      </c>
      <c r="AW10" s="87">
        <f t="shared" si="16"/>
        <v>0.31530733605313582</v>
      </c>
      <c r="AX10" s="187">
        <f t="shared" si="17"/>
        <v>0</v>
      </c>
      <c r="AY10" s="233"/>
      <c r="AZ10" s="86">
        <f>($D$23*$D$4*$D$27)/1000</f>
        <v>829.93416857142847</v>
      </c>
      <c r="BA10" s="307"/>
      <c r="BC10" s="233"/>
      <c r="BD10" s="70">
        <f t="shared" si="18"/>
        <v>32859.58744758914</v>
      </c>
      <c r="BE10" s="94">
        <f t="shared" si="19"/>
        <v>4383.4580898883896</v>
      </c>
      <c r="BF10" s="173">
        <f t="shared" si="20"/>
        <v>829.93416857142847</v>
      </c>
      <c r="BG10" s="70">
        <f t="shared" si="21"/>
        <v>38072.979706048958</v>
      </c>
    </row>
    <row r="11" spans="1:62" ht="12" customHeight="1" x14ac:dyDescent="0.25">
      <c r="A11" s="46"/>
      <c r="B11" s="35"/>
      <c r="C11" s="36" t="s">
        <v>32</v>
      </c>
      <c r="D11" s="280">
        <f>'DATOS DE EVALUACION'!K10</f>
        <v>0.03</v>
      </c>
      <c r="E11" s="42"/>
      <c r="F11" s="54"/>
      <c r="H11" s="243">
        <v>5</v>
      </c>
      <c r="I11" s="233"/>
      <c r="J11" s="304">
        <v>545.68189951375302</v>
      </c>
      <c r="K11" s="244">
        <v>2.3881045930580003</v>
      </c>
      <c r="L11" s="245">
        <v>23.881045930580004</v>
      </c>
      <c r="M11" s="295">
        <v>565.98078855474603</v>
      </c>
      <c r="N11" s="296">
        <v>2.3881045930580003</v>
      </c>
      <c r="O11" s="297">
        <v>26.269150523638</v>
      </c>
      <c r="P11" s="233"/>
      <c r="Q11" s="298">
        <v>45.718265572360693</v>
      </c>
      <c r="R11" s="299">
        <v>43.130439219208199</v>
      </c>
      <c r="S11" s="300">
        <v>38.817395297287383</v>
      </c>
      <c r="T11" s="301">
        <v>39.680004081671548</v>
      </c>
      <c r="U11" s="302">
        <v>37.954786512903219</v>
      </c>
      <c r="V11" s="301">
        <v>36.22956894413489</v>
      </c>
      <c r="W11" s="233"/>
      <c r="X11" s="246">
        <v>16.279969999999999</v>
      </c>
      <c r="Y11" s="241">
        <v>35.60783</v>
      </c>
      <c r="Z11" s="242">
        <v>28.520409999999998</v>
      </c>
      <c r="AA11" s="240">
        <v>17.40147</v>
      </c>
      <c r="AB11" s="241">
        <v>36.235210000000002</v>
      </c>
      <c r="AC11" s="242">
        <v>28.77656</v>
      </c>
      <c r="AD11" s="233"/>
      <c r="AE11" s="346">
        <f t="shared" si="0"/>
        <v>40.864950786683792</v>
      </c>
      <c r="AF11" s="347">
        <f t="shared" si="1"/>
        <v>0.3911620229104108</v>
      </c>
      <c r="AG11" s="348">
        <f t="shared" si="2"/>
        <v>3.133047217377277</v>
      </c>
      <c r="AH11" s="349">
        <f t="shared" si="3"/>
        <v>45.304929478014067</v>
      </c>
      <c r="AI11" s="347">
        <f t="shared" si="4"/>
        <v>0.3980539685845374</v>
      </c>
      <c r="AJ11" s="350">
        <f t="shared" si="5"/>
        <v>3.4773046164855015</v>
      </c>
      <c r="AK11" s="233"/>
      <c r="AL11" s="86">
        <f t="shared" si="6"/>
        <v>0.10061624041094339</v>
      </c>
      <c r="AM11" s="87">
        <f t="shared" si="7"/>
        <v>0.10665321483559999</v>
      </c>
      <c r="AN11" s="95">
        <f t="shared" si="8"/>
        <v>0.11850357203955553</v>
      </c>
      <c r="AO11" s="232">
        <f t="shared" si="9"/>
        <v>0.11592740742999998</v>
      </c>
      <c r="AP11" s="87">
        <f t="shared" si="10"/>
        <v>0.12119683504045453</v>
      </c>
      <c r="AQ11" s="189">
        <f t="shared" si="11"/>
        <v>0.12696811289952378</v>
      </c>
      <c r="AR11" s="233"/>
      <c r="AS11" s="86">
        <f t="shared" si="12"/>
        <v>5.5178983495322909</v>
      </c>
      <c r="AT11" s="87">
        <f t="shared" si="13"/>
        <v>0.29436840648051921</v>
      </c>
      <c r="AU11" s="83">
        <f t="shared" si="14"/>
        <v>0</v>
      </c>
      <c r="AV11" s="232">
        <f t="shared" si="15"/>
        <v>6.5940748899700399</v>
      </c>
      <c r="AW11" s="87">
        <f t="shared" si="16"/>
        <v>0.33450955281877176</v>
      </c>
      <c r="AX11" s="187">
        <f t="shared" si="17"/>
        <v>0</v>
      </c>
      <c r="AY11" s="233"/>
      <c r="BA11" s="87">
        <f>($D$24*$D$4*$D$27)/1000</f>
        <v>3501.1635920000003</v>
      </c>
      <c r="BB11" s="187"/>
      <c r="BC11" s="233"/>
      <c r="BD11" s="70">
        <f t="shared" si="18"/>
        <v>34152.848552870288</v>
      </c>
      <c r="BE11" s="94">
        <f t="shared" si="19"/>
        <v>4650.4106875625912</v>
      </c>
      <c r="BF11" s="173">
        <f t="shared" si="20"/>
        <v>3501.1635920000003</v>
      </c>
      <c r="BG11" s="70">
        <f t="shared" si="21"/>
        <v>42304.422832432872</v>
      </c>
    </row>
    <row r="12" spans="1:62" ht="12" customHeight="1" x14ac:dyDescent="0.25">
      <c r="A12" s="49"/>
      <c r="B12" s="39"/>
      <c r="C12" s="37" t="s">
        <v>33</v>
      </c>
      <c r="D12" s="281">
        <v>4</v>
      </c>
      <c r="E12" s="50"/>
      <c r="F12" s="51"/>
      <c r="H12" s="243">
        <v>6</v>
      </c>
      <c r="I12" s="233"/>
      <c r="J12" s="304">
        <v>562.05235649916563</v>
      </c>
      <c r="K12" s="244">
        <v>2.4597477308497404</v>
      </c>
      <c r="L12" s="245">
        <v>24.597477308497407</v>
      </c>
      <c r="M12" s="295">
        <v>582.96021221138847</v>
      </c>
      <c r="N12" s="296">
        <v>2.4597477308497404</v>
      </c>
      <c r="O12" s="297">
        <v>27.057225039347141</v>
      </c>
      <c r="P12" s="233"/>
      <c r="Q12" s="298">
        <v>44.386665604233677</v>
      </c>
      <c r="R12" s="299">
        <v>41.874212834182714</v>
      </c>
      <c r="S12" s="300">
        <v>37.686791550764447</v>
      </c>
      <c r="T12" s="301">
        <v>38.524275807448099</v>
      </c>
      <c r="U12" s="302">
        <v>36.849307294080795</v>
      </c>
      <c r="V12" s="301">
        <v>35.174338780713484</v>
      </c>
      <c r="W12" s="233"/>
      <c r="X12" s="246">
        <v>16.71781</v>
      </c>
      <c r="Y12" s="241">
        <v>35.717059999999996</v>
      </c>
      <c r="Z12" s="242">
        <v>28.60144</v>
      </c>
      <c r="AA12" s="240">
        <v>17.59346</v>
      </c>
      <c r="AB12" s="241">
        <v>36.387599999999999</v>
      </c>
      <c r="AC12" s="242">
        <v>28.970610000000001</v>
      </c>
      <c r="AD12" s="233"/>
      <c r="AE12" s="346">
        <f t="shared" si="0"/>
        <v>43.222908727624443</v>
      </c>
      <c r="AF12" s="347">
        <f t="shared" si="1"/>
        <v>0.40413280352307046</v>
      </c>
      <c r="AG12" s="348">
        <f t="shared" si="2"/>
        <v>3.23620704839561</v>
      </c>
      <c r="AH12" s="349">
        <f t="shared" si="3"/>
        <v>47.178921005609837</v>
      </c>
      <c r="AI12" s="347">
        <f t="shared" si="4"/>
        <v>0.41171985604291278</v>
      </c>
      <c r="AJ12" s="350">
        <f t="shared" si="5"/>
        <v>3.6057758457669387</v>
      </c>
      <c r="AK12" s="233"/>
      <c r="AL12" s="86">
        <f t="shared" si="6"/>
        <v>0.10363472762327169</v>
      </c>
      <c r="AM12" s="87">
        <f t="shared" si="7"/>
        <v>0.109852811280668</v>
      </c>
      <c r="AN12" s="95">
        <f t="shared" si="8"/>
        <v>0.1220586792007422</v>
      </c>
      <c r="AO12" s="232">
        <f t="shared" si="9"/>
        <v>0.1194052296529</v>
      </c>
      <c r="AP12" s="87">
        <f t="shared" si="10"/>
        <v>0.12483274009166816</v>
      </c>
      <c r="AQ12" s="189">
        <f t="shared" si="11"/>
        <v>0.13077715628650952</v>
      </c>
      <c r="AR12" s="233"/>
      <c r="AS12" s="86">
        <f t="shared" si="12"/>
        <v>5.853938359018807</v>
      </c>
      <c r="AT12" s="87">
        <f t="shared" si="13"/>
        <v>0.31229544243518281</v>
      </c>
      <c r="AU12" s="83">
        <f t="shared" si="14"/>
        <v>0</v>
      </c>
      <c r="AV12" s="232">
        <f t="shared" si="15"/>
        <v>6.9956540507692182</v>
      </c>
      <c r="AW12" s="87">
        <f t="shared" si="16"/>
        <v>0.35488118458543494</v>
      </c>
      <c r="AX12" s="187">
        <f t="shared" si="17"/>
        <v>0</v>
      </c>
      <c r="AY12" s="233"/>
      <c r="AZ12" s="86">
        <f>($D$23*$D$4*$D$27)/1000</f>
        <v>829.93416857142847</v>
      </c>
      <c r="BA12" s="72"/>
      <c r="BB12" s="187"/>
      <c r="BC12" s="233"/>
      <c r="BD12" s="70">
        <f t="shared" si="18"/>
        <v>35791.777829741426</v>
      </c>
      <c r="BE12" s="94">
        <f t="shared" si="19"/>
        <v>4933.6206984351547</v>
      </c>
      <c r="BF12" s="173">
        <f t="shared" si="20"/>
        <v>829.93416857142847</v>
      </c>
      <c r="BG12" s="70">
        <f t="shared" si="21"/>
        <v>41555.33269674801</v>
      </c>
    </row>
    <row r="13" spans="1:62" ht="12" customHeight="1" x14ac:dyDescent="0.25">
      <c r="A13" s="374" t="s">
        <v>34</v>
      </c>
      <c r="B13" s="375"/>
      <c r="C13" s="375"/>
      <c r="D13" s="375"/>
      <c r="E13" s="375"/>
      <c r="F13" s="376"/>
      <c r="H13" s="243">
        <v>7</v>
      </c>
      <c r="I13" s="233"/>
      <c r="J13" s="304">
        <v>578.91392719414057</v>
      </c>
      <c r="K13" s="244">
        <v>2.5335401627752328</v>
      </c>
      <c r="L13" s="245">
        <v>25.335401627752329</v>
      </c>
      <c r="M13" s="295">
        <v>600.44901857773016</v>
      </c>
      <c r="N13" s="296">
        <v>2.5335401627752328</v>
      </c>
      <c r="O13" s="297">
        <v>27.868941790527558</v>
      </c>
      <c r="P13" s="233"/>
      <c r="Q13" s="298">
        <v>43.093850101197752</v>
      </c>
      <c r="R13" s="299">
        <v>40.654575567167683</v>
      </c>
      <c r="S13" s="300">
        <v>36.589118010450917</v>
      </c>
      <c r="T13" s="301">
        <v>37.402209521794269</v>
      </c>
      <c r="U13" s="302">
        <v>35.776026499107566</v>
      </c>
      <c r="V13" s="301">
        <v>34.149843476420855</v>
      </c>
      <c r="W13" s="233"/>
      <c r="X13" s="246">
        <v>16.877130000000001</v>
      </c>
      <c r="Y13" s="241">
        <v>35.833949999999994</v>
      </c>
      <c r="Z13" s="242">
        <v>28.68676</v>
      </c>
      <c r="AA13" s="240">
        <v>18.006970000000003</v>
      </c>
      <c r="AB13" s="241">
        <v>36.550330000000002</v>
      </c>
      <c r="AC13" s="242">
        <v>29.075380000000003</v>
      </c>
      <c r="AD13" s="233"/>
      <c r="AE13" s="346">
        <f t="shared" si="0"/>
        <v>44.943865797103811</v>
      </c>
      <c r="AF13" s="347">
        <f t="shared" si="1"/>
        <v>0.4176190569730458</v>
      </c>
      <c r="AG13" s="348">
        <f t="shared" si="2"/>
        <v>3.3432366955951256</v>
      </c>
      <c r="AH13" s="349">
        <f t="shared" si="3"/>
        <v>49.736430334669699</v>
      </c>
      <c r="AI13" s="347">
        <f t="shared" si="4"/>
        <v>0.42596795348136696</v>
      </c>
      <c r="AJ13" s="350">
        <f t="shared" si="5"/>
        <v>3.7273803346843577</v>
      </c>
      <c r="AK13" s="233"/>
      <c r="AL13" s="86">
        <f t="shared" si="6"/>
        <v>0.10674376945196982</v>
      </c>
      <c r="AM13" s="87">
        <f t="shared" si="7"/>
        <v>0.11314839561908804</v>
      </c>
      <c r="AN13" s="95">
        <f t="shared" si="8"/>
        <v>0.12572043957676449</v>
      </c>
      <c r="AO13" s="232">
        <f t="shared" si="9"/>
        <v>0.122987386542487</v>
      </c>
      <c r="AP13" s="87">
        <f t="shared" si="10"/>
        <v>0.12857772229441822</v>
      </c>
      <c r="AQ13" s="189">
        <f t="shared" si="11"/>
        <v>0.13470047097510482</v>
      </c>
      <c r="AR13" s="233"/>
      <c r="AS13" s="86">
        <f t="shared" si="12"/>
        <v>6.2104432050830516</v>
      </c>
      <c r="AT13" s="87">
        <f t="shared" si="13"/>
        <v>0.33131423487948547</v>
      </c>
      <c r="AU13" s="83">
        <f t="shared" si="14"/>
        <v>0</v>
      </c>
      <c r="AV13" s="232">
        <f t="shared" si="15"/>
        <v>7.4216893824610635</v>
      </c>
      <c r="AW13" s="87">
        <f t="shared" si="16"/>
        <v>0.376493448726688</v>
      </c>
      <c r="AX13" s="187">
        <f t="shared" si="17"/>
        <v>0</v>
      </c>
      <c r="AY13" s="233"/>
      <c r="AZ13" s="86">
        <f>($D$23*$D$4*$D$27)/1000</f>
        <v>829.93416857142847</v>
      </c>
      <c r="BA13" s="307"/>
      <c r="BB13" s="187"/>
      <c r="BC13" s="233"/>
      <c r="BD13" s="70">
        <f t="shared" si="18"/>
        <v>37446.992562965199</v>
      </c>
      <c r="BE13" s="94">
        <f t="shared" si="19"/>
        <v>5234.0781989698553</v>
      </c>
      <c r="BF13" s="173">
        <f t="shared" si="20"/>
        <v>829.93416857142847</v>
      </c>
      <c r="BG13" s="70">
        <f t="shared" si="21"/>
        <v>43511.004930506489</v>
      </c>
    </row>
    <row r="14" spans="1:62" ht="12" customHeight="1" x14ac:dyDescent="0.25">
      <c r="A14" s="43"/>
      <c r="B14" s="44"/>
      <c r="C14" s="60" t="s">
        <v>134</v>
      </c>
      <c r="D14" s="282">
        <v>50.25</v>
      </c>
      <c r="E14" s="34" t="s">
        <v>36</v>
      </c>
      <c r="F14" s="45"/>
      <c r="H14" s="243">
        <v>8</v>
      </c>
      <c r="I14" s="233"/>
      <c r="J14" s="304">
        <v>596.28134500996475</v>
      </c>
      <c r="K14" s="244">
        <v>2.6095463676584898</v>
      </c>
      <c r="L14" s="245">
        <v>26.095463676584899</v>
      </c>
      <c r="M14" s="295">
        <v>618.46248913506213</v>
      </c>
      <c r="N14" s="296">
        <v>2.6095463676584898</v>
      </c>
      <c r="O14" s="297">
        <v>28.705010044243384</v>
      </c>
      <c r="P14" s="233"/>
      <c r="Q14" s="298">
        <v>41.838689418638594</v>
      </c>
      <c r="R14" s="299">
        <v>39.470461715696779</v>
      </c>
      <c r="S14" s="300">
        <v>35.523415544127104</v>
      </c>
      <c r="T14" s="301">
        <v>36.312824778441033</v>
      </c>
      <c r="U14" s="302">
        <v>34.734006309813175</v>
      </c>
      <c r="V14" s="301">
        <v>33.155187841185295</v>
      </c>
      <c r="W14" s="233"/>
      <c r="X14" s="246">
        <v>17.043860000000002</v>
      </c>
      <c r="Y14" s="241">
        <v>36.092519999999993</v>
      </c>
      <c r="Z14" s="242">
        <v>28.77656</v>
      </c>
      <c r="AA14" s="240">
        <v>18.22993</v>
      </c>
      <c r="AB14" s="241">
        <v>36.909759999999999</v>
      </c>
      <c r="AC14" s="242">
        <v>29.301880000000001</v>
      </c>
      <c r="AD14" s="233"/>
      <c r="AE14" s="346">
        <f t="shared" si="0"/>
        <v>46.74950451882308</v>
      </c>
      <c r="AF14" s="347">
        <f t="shared" si="1"/>
        <v>0.43325148054195034</v>
      </c>
      <c r="AG14" s="348">
        <f t="shared" si="2"/>
        <v>3.4543133105985029</v>
      </c>
      <c r="AH14" s="349">
        <f t="shared" si="3"/>
        <v>51.862828268966538</v>
      </c>
      <c r="AI14" s="347">
        <f t="shared" si="4"/>
        <v>0.4430615586400744</v>
      </c>
      <c r="AJ14" s="350">
        <f t="shared" si="5"/>
        <v>3.8691094946899858</v>
      </c>
      <c r="AK14" s="233"/>
      <c r="AL14" s="86">
        <f t="shared" si="6"/>
        <v>0.10994608253552893</v>
      </c>
      <c r="AM14" s="87">
        <f t="shared" si="7"/>
        <v>0.11654284748766068</v>
      </c>
      <c r="AN14" s="95">
        <f t="shared" si="8"/>
        <v>0.12949205276406742</v>
      </c>
      <c r="AO14" s="232">
        <f t="shared" si="9"/>
        <v>0.12667700813876162</v>
      </c>
      <c r="AP14" s="87">
        <f t="shared" si="10"/>
        <v>0.13243505396325075</v>
      </c>
      <c r="AQ14" s="189">
        <f t="shared" si="11"/>
        <v>0.13874148510435796</v>
      </c>
      <c r="AR14" s="233"/>
      <c r="AS14" s="86">
        <f t="shared" si="12"/>
        <v>6.5886591962726087</v>
      </c>
      <c r="AT14" s="87">
        <f t="shared" si="13"/>
        <v>0.35149127178364614</v>
      </c>
      <c r="AU14" s="83">
        <f t="shared" si="14"/>
        <v>0</v>
      </c>
      <c r="AV14" s="232">
        <f t="shared" si="15"/>
        <v>7.8736702658529438</v>
      </c>
      <c r="AW14" s="87">
        <f t="shared" si="16"/>
        <v>0.39942189975414327</v>
      </c>
      <c r="AX14" s="187">
        <f t="shared" si="17"/>
        <v>0</v>
      </c>
      <c r="AY14" s="233"/>
      <c r="AZ14" s="86">
        <f>($D$23*$D$4*$D$27)/1000</f>
        <v>829.93416857142847</v>
      </c>
      <c r="BA14" s="72"/>
      <c r="BB14" s="187"/>
      <c r="BC14" s="233"/>
      <c r="BD14" s="70">
        <f t="shared" si="18"/>
        <v>38986.405050774942</v>
      </c>
      <c r="BE14" s="94">
        <f t="shared" si="19"/>
        <v>5552.8335612871206</v>
      </c>
      <c r="BF14" s="173">
        <f t="shared" si="20"/>
        <v>829.93416857142847</v>
      </c>
      <c r="BG14" s="70">
        <f t="shared" si="21"/>
        <v>45369.172780633497</v>
      </c>
    </row>
    <row r="15" spans="1:62" ht="12" customHeight="1" x14ac:dyDescent="0.25">
      <c r="A15" s="46"/>
      <c r="B15" s="42"/>
      <c r="C15" s="57" t="s">
        <v>135</v>
      </c>
      <c r="D15" s="283">
        <v>30.15</v>
      </c>
      <c r="E15" s="35" t="s">
        <v>36</v>
      </c>
      <c r="F15" s="47"/>
      <c r="H15" s="243">
        <v>9</v>
      </c>
      <c r="I15" s="233"/>
      <c r="J15" s="304">
        <v>614.16978536026375</v>
      </c>
      <c r="K15" s="244">
        <v>2.6878327586882444</v>
      </c>
      <c r="L15" s="245">
        <v>26.878327586882445</v>
      </c>
      <c r="M15" s="295">
        <v>637.01636380911395</v>
      </c>
      <c r="N15" s="296">
        <v>2.6878327586882444</v>
      </c>
      <c r="O15" s="297">
        <v>29.566160345570687</v>
      </c>
      <c r="P15" s="233"/>
      <c r="Q15" s="298">
        <v>40.620086814212222</v>
      </c>
      <c r="R15" s="299">
        <v>38.320836617181342</v>
      </c>
      <c r="S15" s="300">
        <v>34.488752955463205</v>
      </c>
      <c r="T15" s="301">
        <v>35.255169687806834</v>
      </c>
      <c r="U15" s="302">
        <v>33.722336223119591</v>
      </c>
      <c r="V15" s="301">
        <v>32.189502758432326</v>
      </c>
      <c r="W15" s="233"/>
      <c r="X15" s="246">
        <v>17.21846</v>
      </c>
      <c r="Y15" s="241">
        <v>36.235210000000002</v>
      </c>
      <c r="Z15" s="242">
        <v>29.075380000000003</v>
      </c>
      <c r="AA15" s="240">
        <v>18.4648</v>
      </c>
      <c r="AB15" s="241">
        <v>37.108110000000003</v>
      </c>
      <c r="AC15" s="242">
        <v>29.42428</v>
      </c>
      <c r="AD15" s="233"/>
      <c r="AE15" s="346">
        <f t="shared" si="0"/>
        <v>48.645266259197719</v>
      </c>
      <c r="AF15" s="347">
        <f t="shared" si="1"/>
        <v>0.44801324849736013</v>
      </c>
      <c r="AG15" s="348">
        <f t="shared" si="2"/>
        <v>3.5948889064242144</v>
      </c>
      <c r="AH15" s="349">
        <f t="shared" si="3"/>
        <v>54.106946870527622</v>
      </c>
      <c r="AI15" s="347">
        <f t="shared" si="4"/>
        <v>0.45880581088663142</v>
      </c>
      <c r="AJ15" s="350">
        <f t="shared" si="5"/>
        <v>4.0018297104516556</v>
      </c>
      <c r="AK15" s="233"/>
      <c r="AL15" s="86">
        <f t="shared" si="6"/>
        <v>0.11324446501159481</v>
      </c>
      <c r="AM15" s="87">
        <f t="shared" si="7"/>
        <v>0.1200391329122905</v>
      </c>
      <c r="AN15" s="95">
        <f t="shared" si="8"/>
        <v>0.13337681434698945</v>
      </c>
      <c r="AO15" s="232">
        <f t="shared" si="9"/>
        <v>0.13047731838292445</v>
      </c>
      <c r="AP15" s="87">
        <f t="shared" si="10"/>
        <v>0.13640810558214825</v>
      </c>
      <c r="AQ15" s="189">
        <f t="shared" si="11"/>
        <v>0.14290372965748868</v>
      </c>
      <c r="AR15" s="233"/>
      <c r="AS15" s="86">
        <f t="shared" si="12"/>
        <v>6.9899085413256126</v>
      </c>
      <c r="AT15" s="87">
        <f t="shared" si="13"/>
        <v>0.37289709023527018</v>
      </c>
      <c r="AU15" s="83">
        <f t="shared" si="14"/>
        <v>0</v>
      </c>
      <c r="AV15" s="232">
        <f t="shared" si="15"/>
        <v>8.353176785043388</v>
      </c>
      <c r="AW15" s="87">
        <f t="shared" si="16"/>
        <v>0.42374669344917049</v>
      </c>
      <c r="AX15" s="187">
        <f t="shared" si="17"/>
        <v>0</v>
      </c>
      <c r="AY15" s="233"/>
      <c r="AZ15" s="86">
        <f>($D$23*$D$4*$D$27)/1000</f>
        <v>829.93416857142847</v>
      </c>
      <c r="BA15" s="307"/>
      <c r="BC15" s="233"/>
      <c r="BD15" s="70">
        <f t="shared" si="18"/>
        <v>40608.349044184601</v>
      </c>
      <c r="BE15" s="94">
        <f t="shared" si="19"/>
        <v>5891.0011251695059</v>
      </c>
      <c r="BF15" s="173">
        <f t="shared" si="20"/>
        <v>829.93416857142847</v>
      </c>
      <c r="BG15" s="70">
        <f t="shared" si="21"/>
        <v>47329.284337925536</v>
      </c>
    </row>
    <row r="16" spans="1:62" ht="12" customHeight="1" x14ac:dyDescent="0.25">
      <c r="A16" s="46"/>
      <c r="B16" s="42"/>
      <c r="C16" s="57" t="s">
        <v>38</v>
      </c>
      <c r="D16" s="284" t="s">
        <v>57</v>
      </c>
      <c r="E16" s="35"/>
      <c r="F16" s="47"/>
      <c r="H16" s="243">
        <v>10</v>
      </c>
      <c r="I16" s="233"/>
      <c r="J16" s="304">
        <v>632.59487892107165</v>
      </c>
      <c r="K16" s="244">
        <v>2.7684677414488919</v>
      </c>
      <c r="L16" s="245">
        <v>27.68467741448892</v>
      </c>
      <c r="M16" s="295">
        <v>656.1268547233874</v>
      </c>
      <c r="N16" s="296">
        <v>2.7684677414488919</v>
      </c>
      <c r="O16" s="297">
        <v>30.453145155937808</v>
      </c>
      <c r="P16" s="233"/>
      <c r="Q16" s="298">
        <v>39.436977489526434</v>
      </c>
      <c r="R16" s="299">
        <v>37.204695744836251</v>
      </c>
      <c r="S16" s="300">
        <v>33.48422617035262</v>
      </c>
      <c r="T16" s="301">
        <v>34.228320085249358</v>
      </c>
      <c r="U16" s="302">
        <v>32.740132255455912</v>
      </c>
      <c r="V16" s="301">
        <v>31.251944425662451</v>
      </c>
      <c r="W16" s="233"/>
      <c r="X16" s="246">
        <v>17.59346</v>
      </c>
      <c r="Y16" s="241">
        <v>36.387599999999999</v>
      </c>
      <c r="Z16" s="242">
        <v>29.301880000000001</v>
      </c>
      <c r="AA16" s="240">
        <v>18.712509999999998</v>
      </c>
      <c r="AB16" s="241">
        <v>37.320149999999998</v>
      </c>
      <c r="AC16" s="242">
        <v>29.553290000000001</v>
      </c>
      <c r="AD16" s="233"/>
      <c r="AE16" s="346">
        <f t="shared" si="0"/>
        <v>51.195850413112495</v>
      </c>
      <c r="AF16" s="347">
        <f t="shared" si="1"/>
        <v>0.4633943252282301</v>
      </c>
      <c r="AG16" s="348">
        <f t="shared" si="2"/>
        <v>3.7315802390150972</v>
      </c>
      <c r="AH16" s="349">
        <f t="shared" si="3"/>
        <v>56.477789519287683</v>
      </c>
      <c r="AI16" s="347">
        <f t="shared" si="4"/>
        <v>0.47527030435275569</v>
      </c>
      <c r="AJ16" s="350">
        <f t="shared" si="5"/>
        <v>4.1399568989454165</v>
      </c>
      <c r="AK16" s="233"/>
      <c r="AL16" s="86">
        <f t="shared" si="6"/>
        <v>0.11664179896194264</v>
      </c>
      <c r="AM16" s="87">
        <f t="shared" si="7"/>
        <v>0.12364030689965923</v>
      </c>
      <c r="AN16" s="95">
        <f t="shared" si="8"/>
        <v>0.13737811877739917</v>
      </c>
      <c r="AO16" s="232">
        <f t="shared" si="9"/>
        <v>0.13439163793441217</v>
      </c>
      <c r="AP16" s="87">
        <f t="shared" si="10"/>
        <v>0.1405003487496127</v>
      </c>
      <c r="AQ16" s="189">
        <f t="shared" si="11"/>
        <v>0.14719084154721335</v>
      </c>
      <c r="AR16" s="233"/>
      <c r="AS16" s="86">
        <f t="shared" si="12"/>
        <v>7.4155939714923429</v>
      </c>
      <c r="AT16" s="87">
        <f t="shared" si="13"/>
        <v>0.39560652303059823</v>
      </c>
      <c r="AU16" s="83">
        <f t="shared" si="14"/>
        <v>0</v>
      </c>
      <c r="AV16" s="232">
        <f t="shared" si="15"/>
        <v>8.861885251252529</v>
      </c>
      <c r="AW16" s="87">
        <f t="shared" si="16"/>
        <v>0.44955286708022496</v>
      </c>
      <c r="AX16" s="187">
        <f t="shared" si="17"/>
        <v>0</v>
      </c>
      <c r="AY16" s="233"/>
      <c r="BA16" s="72"/>
      <c r="BB16" s="189">
        <f>($D$25*$D$4*$D$27)/1000</f>
        <v>40671.360762285716</v>
      </c>
      <c r="BC16" s="233"/>
      <c r="BD16" s="70">
        <f t="shared" si="18"/>
        <v>42516.602220478715</v>
      </c>
      <c r="BE16" s="94">
        <f t="shared" si="19"/>
        <v>6249.7630936923288</v>
      </c>
      <c r="BF16" s="173">
        <f t="shared" si="20"/>
        <v>40671.360762285716</v>
      </c>
      <c r="BG16" s="70">
        <f t="shared" si="21"/>
        <v>89437.726076456762</v>
      </c>
    </row>
    <row r="17" spans="1:59" ht="12" customHeight="1" x14ac:dyDescent="0.25">
      <c r="A17" s="46"/>
      <c r="B17" s="42"/>
      <c r="C17" s="57" t="s">
        <v>39</v>
      </c>
      <c r="D17" s="283">
        <v>2</v>
      </c>
      <c r="E17" s="35" t="s">
        <v>40</v>
      </c>
      <c r="F17" s="47"/>
      <c r="H17" s="243">
        <v>11</v>
      </c>
      <c r="I17" s="233"/>
      <c r="J17" s="304">
        <v>651.57272528870385</v>
      </c>
      <c r="K17" s="244">
        <v>2.8515217736923586</v>
      </c>
      <c r="L17" s="245">
        <v>28.515217736923589</v>
      </c>
      <c r="M17" s="295">
        <v>675.81066036508901</v>
      </c>
      <c r="N17" s="296">
        <v>2.8515217736923586</v>
      </c>
      <c r="O17" s="297">
        <v>31.366739510615943</v>
      </c>
      <c r="P17" s="233"/>
      <c r="Q17" s="298">
        <v>38.288327659734399</v>
      </c>
      <c r="R17" s="299">
        <v>36.121063829938109</v>
      </c>
      <c r="S17" s="300">
        <v>32.508957446944287</v>
      </c>
      <c r="T17" s="301">
        <v>33.231378723543067</v>
      </c>
      <c r="U17" s="302">
        <v>31.786536170345546</v>
      </c>
      <c r="V17" s="301">
        <v>30.34169361714801</v>
      </c>
      <c r="W17" s="233"/>
      <c r="X17" s="246">
        <v>17.795060000000003</v>
      </c>
      <c r="Y17" s="241">
        <v>36.550330000000002</v>
      </c>
      <c r="Z17" s="242">
        <v>29.301880000000001</v>
      </c>
      <c r="AA17" s="240">
        <v>19.250619999999998</v>
      </c>
      <c r="AB17" s="241">
        <v>37.546970000000002</v>
      </c>
      <c r="AC17" s="242">
        <v>29.832830000000001</v>
      </c>
      <c r="AD17" s="233"/>
      <c r="AE17" s="346">
        <f t="shared" si="0"/>
        <v>53.335968408029622</v>
      </c>
      <c r="AF17" s="347">
        <f t="shared" si="1"/>
        <v>0.47943068442094872</v>
      </c>
      <c r="AG17" s="348">
        <f t="shared" si="2"/>
        <v>3.8435276461855503</v>
      </c>
      <c r="AH17" s="349">
        <f t="shared" si="3"/>
        <v>59.844961387331985</v>
      </c>
      <c r="AI17" s="347">
        <f t="shared" si="4"/>
        <v>0.49250361145939936</v>
      </c>
      <c r="AJ17" s="350">
        <f t="shared" si="5"/>
        <v>4.3044895943826473</v>
      </c>
      <c r="AK17" s="233"/>
      <c r="AL17" s="86">
        <f t="shared" si="6"/>
        <v>0.12014105293080092</v>
      </c>
      <c r="AM17" s="87">
        <f t="shared" si="7"/>
        <v>0.12734951610664899</v>
      </c>
      <c r="AN17" s="95">
        <f t="shared" si="8"/>
        <v>0.14149946234072117</v>
      </c>
      <c r="AO17" s="232">
        <f t="shared" si="9"/>
        <v>0.13842338707244453</v>
      </c>
      <c r="AP17" s="87">
        <f t="shared" si="10"/>
        <v>0.14471535921210107</v>
      </c>
      <c r="AQ17" s="189">
        <f t="shared" si="11"/>
        <v>0.15160656679362977</v>
      </c>
      <c r="AR17" s="233"/>
      <c r="AS17" s="86">
        <f t="shared" si="12"/>
        <v>7.8672036443562261</v>
      </c>
      <c r="AT17" s="87">
        <f t="shared" si="13"/>
        <v>0.41969896028316162</v>
      </c>
      <c r="AU17" s="83">
        <f t="shared" si="14"/>
        <v>0</v>
      </c>
      <c r="AV17" s="232">
        <f t="shared" si="15"/>
        <v>9.4015740630538076</v>
      </c>
      <c r="AW17" s="87">
        <f t="shared" si="16"/>
        <v>0.47693063668541069</v>
      </c>
      <c r="AX17" s="187">
        <f t="shared" si="17"/>
        <v>0</v>
      </c>
      <c r="AY17" s="233"/>
      <c r="AZ17" s="86">
        <f>($D$23*$D$4*$D$27)/1000</f>
        <v>829.93416857142847</v>
      </c>
      <c r="BA17" s="72"/>
      <c r="BB17" s="187"/>
      <c r="BC17" s="233"/>
      <c r="BD17" s="70">
        <f t="shared" si="18"/>
        <v>44639.821686110707</v>
      </c>
      <c r="BE17" s="94">
        <f t="shared" si="19"/>
        <v>6630.3736660981904</v>
      </c>
      <c r="BF17" s="173">
        <f t="shared" si="20"/>
        <v>829.93416857142847</v>
      </c>
      <c r="BG17" s="70">
        <f t="shared" si="21"/>
        <v>52100.129520780327</v>
      </c>
    </row>
    <row r="18" spans="1:59" ht="12" customHeight="1" x14ac:dyDescent="0.25">
      <c r="A18" s="46"/>
      <c r="B18" s="42"/>
      <c r="C18" s="57" t="s">
        <v>41</v>
      </c>
      <c r="D18" s="283">
        <v>23</v>
      </c>
      <c r="E18" s="35" t="s">
        <v>40</v>
      </c>
      <c r="F18" s="47"/>
      <c r="H18" s="243">
        <v>12</v>
      </c>
      <c r="I18" s="233"/>
      <c r="J18" s="304">
        <v>671.11990704736502</v>
      </c>
      <c r="K18" s="244">
        <v>2.9370674269031296</v>
      </c>
      <c r="L18" s="245">
        <v>29.370674269031298</v>
      </c>
      <c r="M18" s="295">
        <v>696.08498017604165</v>
      </c>
      <c r="N18" s="296">
        <v>2.9370674269031296</v>
      </c>
      <c r="O18" s="297">
        <v>32.307741695934425</v>
      </c>
      <c r="P18" s="233"/>
      <c r="Q18" s="298">
        <v>37.17313365022757</v>
      </c>
      <c r="R18" s="299">
        <v>35.068994009648648</v>
      </c>
      <c r="S18" s="300">
        <v>31.562094608683772</v>
      </c>
      <c r="T18" s="301">
        <v>32.263474488876767</v>
      </c>
      <c r="U18" s="302">
        <v>30.860714728490819</v>
      </c>
      <c r="V18" s="301">
        <v>29.457954968104861</v>
      </c>
      <c r="W18" s="233"/>
      <c r="X18" s="246">
        <v>18.006970000000003</v>
      </c>
      <c r="Y18" s="241">
        <v>36.909759999999999</v>
      </c>
      <c r="Z18" s="242">
        <v>29.42428</v>
      </c>
      <c r="AA18" s="240">
        <v>19.54344</v>
      </c>
      <c r="AB18" s="241">
        <v>37.789790000000004</v>
      </c>
      <c r="AC18" s="242">
        <v>29.984330000000003</v>
      </c>
      <c r="AD18" s="233"/>
      <c r="AE18" s="346">
        <f t="shared" si="0"/>
        <v>55.590245749981577</v>
      </c>
      <c r="AF18" s="347">
        <f t="shared" si="1"/>
        <v>0.49866968762173536</v>
      </c>
      <c r="AG18" s="348">
        <f t="shared" si="2"/>
        <v>3.9753703400115525</v>
      </c>
      <c r="AH18" s="349">
        <f t="shared" si="3"/>
        <v>62.577917206869628</v>
      </c>
      <c r="AI18" s="347">
        <f t="shared" si="4"/>
        <v>0.51055934188114427</v>
      </c>
      <c r="AJ18" s="350">
        <f t="shared" si="5"/>
        <v>4.4561395474020244</v>
      </c>
      <c r="AK18" s="233"/>
      <c r="AL18" s="86">
        <f t="shared" si="6"/>
        <v>0.12374528451872496</v>
      </c>
      <c r="AM18" s="87">
        <f t="shared" si="7"/>
        <v>0.13117000158984848</v>
      </c>
      <c r="AN18" s="95">
        <f t="shared" si="8"/>
        <v>0.14574444621094279</v>
      </c>
      <c r="AO18" s="232">
        <f t="shared" si="9"/>
        <v>0.14257608868461785</v>
      </c>
      <c r="AP18" s="87">
        <f t="shared" si="10"/>
        <v>0.14905681998846412</v>
      </c>
      <c r="AQ18" s="189">
        <f t="shared" si="11"/>
        <v>0.15615476379743867</v>
      </c>
      <c r="AR18" s="233"/>
      <c r="AS18" s="86">
        <f t="shared" si="12"/>
        <v>8.3463163462975203</v>
      </c>
      <c r="AT18" s="87">
        <f t="shared" si="13"/>
        <v>0.44525862696440621</v>
      </c>
      <c r="AU18" s="83">
        <f t="shared" si="14"/>
        <v>0</v>
      </c>
      <c r="AV18" s="232">
        <f t="shared" si="15"/>
        <v>9.9741299234937806</v>
      </c>
      <c r="AW18" s="87">
        <f t="shared" si="16"/>
        <v>0.50597571245955231</v>
      </c>
      <c r="AX18" s="187">
        <f t="shared" si="17"/>
        <v>0</v>
      </c>
      <c r="AY18" s="233"/>
      <c r="AZ18" s="86">
        <f>($D$23*$D$4*$D$27)/1000</f>
        <v>829.93416857142847</v>
      </c>
      <c r="BA18" s="72"/>
      <c r="BB18" s="189"/>
      <c r="BC18" s="233"/>
      <c r="BD18" s="70">
        <f t="shared" si="18"/>
        <v>46577.249183925203</v>
      </c>
      <c r="BE18" s="94">
        <f t="shared" si="19"/>
        <v>7034.1634223635701</v>
      </c>
      <c r="BF18" s="173">
        <f t="shared" si="20"/>
        <v>829.93416857142847</v>
      </c>
      <c r="BG18" s="70">
        <f t="shared" si="21"/>
        <v>54441.346774860205</v>
      </c>
    </row>
    <row r="19" spans="1:59" ht="12" customHeight="1" x14ac:dyDescent="0.25">
      <c r="A19" s="46"/>
      <c r="B19" s="42"/>
      <c r="C19" s="57" t="s">
        <v>42</v>
      </c>
      <c r="D19" s="285" t="s">
        <v>57</v>
      </c>
      <c r="E19" s="35" t="s">
        <v>43</v>
      </c>
      <c r="F19" s="47"/>
      <c r="H19" s="243">
        <v>13</v>
      </c>
      <c r="I19" s="233"/>
      <c r="J19" s="304">
        <v>691.25350425878594</v>
      </c>
      <c r="K19" s="244">
        <v>3.0251794497102238</v>
      </c>
      <c r="L19" s="245">
        <v>30.251794497102239</v>
      </c>
      <c r="M19" s="295">
        <v>716.96752958132288</v>
      </c>
      <c r="N19" s="296">
        <v>3.0251794497102238</v>
      </c>
      <c r="O19" s="297">
        <v>33.276973946812461</v>
      </c>
      <c r="P19" s="233"/>
      <c r="Q19" s="298">
        <v>36.09042101963842</v>
      </c>
      <c r="R19" s="299">
        <v>34.047566999658876</v>
      </c>
      <c r="S19" s="300">
        <v>30.642810299692979</v>
      </c>
      <c r="T19" s="301">
        <v>31.323761639686182</v>
      </c>
      <c r="U19" s="302">
        <v>29.961858959699821</v>
      </c>
      <c r="V19" s="301">
        <v>28.599956279713453</v>
      </c>
      <c r="W19" s="233"/>
      <c r="X19" s="246">
        <v>18.22993</v>
      </c>
      <c r="Y19" s="241">
        <v>37.108110000000003</v>
      </c>
      <c r="Z19" s="242">
        <v>29.553290000000001</v>
      </c>
      <c r="AA19" s="240">
        <v>19.853960000000001</v>
      </c>
      <c r="AB19" s="241">
        <v>38.049959999999999</v>
      </c>
      <c r="AC19" s="242">
        <v>29.984330000000003</v>
      </c>
      <c r="AD19" s="233"/>
      <c r="AE19" s="346">
        <f t="shared" si="0"/>
        <v>57.966913776504896</v>
      </c>
      <c r="AF19" s="347">
        <f t="shared" si="1"/>
        <v>0.51638998223209764</v>
      </c>
      <c r="AG19" s="348">
        <f t="shared" si="2"/>
        <v>4.1125842566490265</v>
      </c>
      <c r="AH19" s="349">
        <f t="shared" si="3"/>
        <v>65.479365406589437</v>
      </c>
      <c r="AI19" s="347">
        <f t="shared" si="4"/>
        <v>0.52949660244976171</v>
      </c>
      <c r="AJ19" s="350">
        <f t="shared" si="5"/>
        <v>4.5898237338240859</v>
      </c>
      <c r="AK19" s="233"/>
      <c r="AL19" s="86">
        <f t="shared" si="6"/>
        <v>0.1274576430542867</v>
      </c>
      <c r="AM19" s="87">
        <f t="shared" si="7"/>
        <v>0.13510510163754394</v>
      </c>
      <c r="AN19" s="95">
        <f t="shared" si="8"/>
        <v>0.1501167795972711</v>
      </c>
      <c r="AO19" s="232">
        <f t="shared" si="9"/>
        <v>0.14685337134515639</v>
      </c>
      <c r="AP19" s="87">
        <f t="shared" si="10"/>
        <v>0.15352852458811808</v>
      </c>
      <c r="AQ19" s="189">
        <f t="shared" si="11"/>
        <v>0.16083940671136185</v>
      </c>
      <c r="AR19" s="233"/>
      <c r="AS19" s="86">
        <f t="shared" si="12"/>
        <v>8.8546070117870386</v>
      </c>
      <c r="AT19" s="87">
        <f t="shared" si="13"/>
        <v>0.4723748773465386</v>
      </c>
      <c r="AU19" s="83">
        <f t="shared" si="14"/>
        <v>0</v>
      </c>
      <c r="AV19" s="232">
        <f t="shared" si="15"/>
        <v>10.581554435834553</v>
      </c>
      <c r="AW19" s="87">
        <f t="shared" si="16"/>
        <v>0.53678963334833929</v>
      </c>
      <c r="AX19" s="187">
        <f t="shared" si="17"/>
        <v>0</v>
      </c>
      <c r="AY19" s="233"/>
      <c r="AZ19" s="86">
        <f>($D$23*$D$4*$D$27)/1000</f>
        <v>829.93416857142847</v>
      </c>
      <c r="BA19" s="72"/>
      <c r="BB19" s="189"/>
      <c r="BC19" s="233"/>
      <c r="BD19" s="70">
        <f t="shared" si="18"/>
        <v>48616.019421760997</v>
      </c>
      <c r="BE19" s="94">
        <f t="shared" si="19"/>
        <v>7462.5439747855116</v>
      </c>
      <c r="BF19" s="173">
        <f t="shared" si="20"/>
        <v>829.93416857142847</v>
      </c>
      <c r="BG19" s="70">
        <f t="shared" si="21"/>
        <v>56908.497565117941</v>
      </c>
    </row>
    <row r="20" spans="1:59" ht="12" customHeight="1" x14ac:dyDescent="0.25">
      <c r="A20" s="46"/>
      <c r="B20" s="42"/>
      <c r="C20" s="57" t="s">
        <v>44</v>
      </c>
      <c r="D20" s="283">
        <v>15.87</v>
      </c>
      <c r="E20" s="35" t="s">
        <v>45</v>
      </c>
      <c r="F20" s="47"/>
      <c r="H20" s="243">
        <v>14</v>
      </c>
      <c r="I20" s="233"/>
      <c r="J20" s="304">
        <v>711.99110938654951</v>
      </c>
      <c r="K20" s="244">
        <v>3.1159348332015306</v>
      </c>
      <c r="L20" s="245">
        <v>31.159348332015306</v>
      </c>
      <c r="M20" s="295">
        <v>738.47655546876263</v>
      </c>
      <c r="N20" s="296">
        <v>3.1159348332015306</v>
      </c>
      <c r="O20" s="297">
        <v>34.275283165216834</v>
      </c>
      <c r="P20" s="233"/>
      <c r="Q20" s="298">
        <v>35.039243708386813</v>
      </c>
      <c r="R20" s="299">
        <v>33.055890290930947</v>
      </c>
      <c r="S20" s="300">
        <v>29.750301261837844</v>
      </c>
      <c r="T20" s="301">
        <v>30.411419067656485</v>
      </c>
      <c r="U20" s="302">
        <v>29.089183456019242</v>
      </c>
      <c r="V20" s="301">
        <v>27.766947844381995</v>
      </c>
      <c r="W20" s="233"/>
      <c r="X20" s="246">
        <v>18.4648</v>
      </c>
      <c r="Y20" s="241">
        <v>37.320149999999998</v>
      </c>
      <c r="Z20" s="242">
        <v>29.832830000000001</v>
      </c>
      <c r="AA20" s="240">
        <v>20.183759999999999</v>
      </c>
      <c r="AB20" s="241">
        <v>38.32902</v>
      </c>
      <c r="AC20" s="242">
        <v>30.313500000000001</v>
      </c>
      <c r="AD20" s="233"/>
      <c r="AE20" s="346">
        <f t="shared" si="0"/>
        <v>60.475157808363498</v>
      </c>
      <c r="AF20" s="347">
        <f t="shared" si="1"/>
        <v>0.53492091468040803</v>
      </c>
      <c r="AG20" s="348">
        <f t="shared" si="2"/>
        <v>4.276029091819062</v>
      </c>
      <c r="AH20" s="349">
        <f t="shared" si="3"/>
        <v>68.564074381557674</v>
      </c>
      <c r="AI20" s="347">
        <f t="shared" si="4"/>
        <v>0.54938135128619947</v>
      </c>
      <c r="AJ20" s="350">
        <f t="shared" si="5"/>
        <v>4.7794174626524821</v>
      </c>
      <c r="AK20" s="233"/>
      <c r="AL20" s="86">
        <f t="shared" si="6"/>
        <v>0.1312813723459153</v>
      </c>
      <c r="AM20" s="87">
        <f t="shared" si="7"/>
        <v>0.13915825468667026</v>
      </c>
      <c r="AN20" s="95">
        <f t="shared" si="8"/>
        <v>0.15462028298518923</v>
      </c>
      <c r="AO20" s="232">
        <f t="shared" si="9"/>
        <v>0.1512589724855111</v>
      </c>
      <c r="AP20" s="87">
        <f t="shared" si="10"/>
        <v>0.15813438032576163</v>
      </c>
      <c r="AQ20" s="189">
        <f t="shared" si="11"/>
        <v>0.16566458891270269</v>
      </c>
      <c r="AR20" s="233"/>
      <c r="AS20" s="86">
        <f t="shared" si="12"/>
        <v>9.3938525788048697</v>
      </c>
      <c r="AT20" s="87">
        <f t="shared" si="13"/>
        <v>0.50114250737694277</v>
      </c>
      <c r="AU20" s="83">
        <f t="shared" si="14"/>
        <v>0</v>
      </c>
      <c r="AV20" s="232">
        <f t="shared" si="15"/>
        <v>11.22597110097688</v>
      </c>
      <c r="AW20" s="87">
        <f t="shared" si="16"/>
        <v>0.56948012201925313</v>
      </c>
      <c r="AX20" s="187">
        <f t="shared" si="17"/>
        <v>0</v>
      </c>
      <c r="AY20" s="233"/>
      <c r="AZ20" s="86">
        <f>($D$23*$D$4*$D$27)/1000</f>
        <v>829.93416857142847</v>
      </c>
      <c r="BA20" s="307"/>
      <c r="BB20" s="189"/>
      <c r="BC20" s="233"/>
      <c r="BD20" s="70">
        <f t="shared" si="18"/>
        <v>50800.328068781149</v>
      </c>
      <c r="BE20" s="94">
        <f t="shared" si="19"/>
        <v>7917.0129028499505</v>
      </c>
      <c r="BF20" s="173">
        <f t="shared" si="20"/>
        <v>829.93416857142847</v>
      </c>
      <c r="BG20" s="70">
        <f t="shared" si="21"/>
        <v>59547.275140202531</v>
      </c>
    </row>
    <row r="21" spans="1:59" ht="12" customHeight="1" x14ac:dyDescent="0.25">
      <c r="A21" s="49"/>
      <c r="B21" s="50"/>
      <c r="C21" s="61" t="s">
        <v>46</v>
      </c>
      <c r="D21" s="286">
        <v>0.1</v>
      </c>
      <c r="E21" s="39"/>
      <c r="F21" s="51"/>
      <c r="H21" s="243">
        <v>15</v>
      </c>
      <c r="I21" s="233"/>
      <c r="J21" s="304">
        <v>733.35084266814602</v>
      </c>
      <c r="K21" s="244">
        <v>3.2094128781975768</v>
      </c>
      <c r="L21" s="245">
        <v>32.094128781975769</v>
      </c>
      <c r="M21" s="295">
        <v>760.63085213282557</v>
      </c>
      <c r="N21" s="296">
        <v>3.2094128781975768</v>
      </c>
      <c r="O21" s="297">
        <v>35.303541660173337</v>
      </c>
      <c r="P21" s="233"/>
      <c r="Q21" s="298">
        <v>34.018683212026026</v>
      </c>
      <c r="R21" s="299">
        <v>32.093097369835867</v>
      </c>
      <c r="S21" s="300">
        <v>28.883787632852272</v>
      </c>
      <c r="T21" s="301">
        <v>29.525649580249013</v>
      </c>
      <c r="U21" s="302">
        <v>28.241925685455573</v>
      </c>
      <c r="V21" s="301">
        <v>26.95820179066213</v>
      </c>
      <c r="W21" s="233"/>
      <c r="X21" s="246">
        <v>18.712509999999998</v>
      </c>
      <c r="Y21" s="241">
        <v>37.546970000000002</v>
      </c>
      <c r="Z21" s="242">
        <v>29.984330000000003</v>
      </c>
      <c r="AA21" s="240">
        <v>20.183759999999999</v>
      </c>
      <c r="AB21" s="241">
        <v>38.628699999999995</v>
      </c>
      <c r="AC21" s="242">
        <v>30.492450000000002</v>
      </c>
      <c r="AD21" s="233"/>
      <c r="AE21" s="346">
        <f t="shared" si="0"/>
        <v>63.125040893906089</v>
      </c>
      <c r="AF21" s="347">
        <f t="shared" si="1"/>
        <v>0.55431715365437106</v>
      </c>
      <c r="AG21" s="348">
        <f t="shared" si="2"/>
        <v>4.4266763629217936</v>
      </c>
      <c r="AH21" s="349">
        <f t="shared" si="3"/>
        <v>70.620996613004422</v>
      </c>
      <c r="AI21" s="347">
        <f t="shared" si="4"/>
        <v>0.57028705734094121</v>
      </c>
      <c r="AJ21" s="350">
        <f t="shared" si="5"/>
        <v>4.9518608029204607</v>
      </c>
      <c r="AK21" s="233"/>
      <c r="AL21" s="86">
        <f t="shared" si="6"/>
        <v>0.13521981351629278</v>
      </c>
      <c r="AM21" s="87">
        <f t="shared" si="7"/>
        <v>0.14333300232727039</v>
      </c>
      <c r="AN21" s="95">
        <f t="shared" si="8"/>
        <v>0.15925889147474492</v>
      </c>
      <c r="AO21" s="232">
        <f t="shared" si="9"/>
        <v>0.15579674166007643</v>
      </c>
      <c r="AP21" s="87">
        <f t="shared" si="10"/>
        <v>0.16287841173553447</v>
      </c>
      <c r="AQ21" s="189">
        <f t="shared" si="11"/>
        <v>0.1706345265800838</v>
      </c>
      <c r="AR21" s="233"/>
      <c r="AS21" s="86">
        <f t="shared" si="12"/>
        <v>9.9659382008540884</v>
      </c>
      <c r="AT21" s="87">
        <f t="shared" si="13"/>
        <v>0.5316620860761988</v>
      </c>
      <c r="AU21" s="83">
        <f t="shared" si="14"/>
        <v>0</v>
      </c>
      <c r="AV21" s="232">
        <f t="shared" si="15"/>
        <v>11.909632741026373</v>
      </c>
      <c r="AW21" s="87">
        <f t="shared" si="16"/>
        <v>0.60416146145022576</v>
      </c>
      <c r="AX21" s="187">
        <f t="shared" si="17"/>
        <v>0</v>
      </c>
      <c r="AY21" s="233"/>
      <c r="AZ21" s="86"/>
      <c r="BA21" s="87">
        <f>($D$24*$D$4*$D$27)/1000</f>
        <v>3501.1635920000003</v>
      </c>
      <c r="BB21" s="189"/>
      <c r="BC21" s="233"/>
      <c r="BD21" s="70">
        <f t="shared" si="18"/>
        <v>52650.950292568057</v>
      </c>
      <c r="BE21" s="94">
        <f t="shared" si="19"/>
        <v>8399.1589886335132</v>
      </c>
      <c r="BF21" s="173">
        <f t="shared" si="20"/>
        <v>3501.1635920000003</v>
      </c>
      <c r="BG21" s="70">
        <f t="shared" si="21"/>
        <v>64551.272873201568</v>
      </c>
    </row>
    <row r="22" spans="1:59" ht="12" customHeight="1" x14ac:dyDescent="0.25">
      <c r="A22" s="374" t="s">
        <v>47</v>
      </c>
      <c r="B22" s="375"/>
      <c r="C22" s="375"/>
      <c r="D22" s="375"/>
      <c r="E22" s="375"/>
      <c r="F22" s="376"/>
      <c r="H22" s="243"/>
      <c r="I22" s="233"/>
      <c r="P22" s="233"/>
      <c r="W22" s="233"/>
      <c r="AD22" s="233"/>
      <c r="AK22" s="233"/>
      <c r="AR22" s="233"/>
      <c r="AY22" s="233"/>
      <c r="AZ22" s="139"/>
      <c r="BA22" s="139"/>
      <c r="BB22" s="189"/>
      <c r="BC22" s="233"/>
      <c r="BG22" s="70"/>
    </row>
    <row r="23" spans="1:59" ht="12" customHeight="1" x14ac:dyDescent="0.25">
      <c r="A23" s="43"/>
      <c r="B23" s="44"/>
      <c r="C23" s="38" t="s">
        <v>48</v>
      </c>
      <c r="D23" s="287">
        <v>33235.35</v>
      </c>
      <c r="E23" s="34" t="s">
        <v>49</v>
      </c>
      <c r="F23" s="45"/>
      <c r="H23" s="243"/>
      <c r="I23" s="233"/>
      <c r="J23" s="187"/>
      <c r="K23" s="187"/>
      <c r="L23" s="187"/>
      <c r="M23" s="187"/>
      <c r="N23" s="187"/>
      <c r="O23" s="187"/>
      <c r="P23" s="233"/>
      <c r="Q23" s="188"/>
      <c r="R23" s="188"/>
      <c r="S23" s="188"/>
      <c r="T23" s="188"/>
      <c r="U23" s="188"/>
      <c r="V23" s="188"/>
      <c r="W23" s="233"/>
      <c r="X23" s="189"/>
      <c r="Y23" s="189"/>
      <c r="Z23" s="189"/>
      <c r="AA23" s="189"/>
      <c r="AB23" s="189"/>
      <c r="AC23" s="189"/>
      <c r="AD23" s="233"/>
      <c r="AE23" s="189"/>
      <c r="AF23" s="189"/>
      <c r="AG23" s="189"/>
      <c r="AH23" s="189"/>
      <c r="AI23" s="189"/>
      <c r="AJ23" s="189"/>
      <c r="AK23" s="247"/>
      <c r="AL23" s="190"/>
      <c r="AM23" s="190"/>
      <c r="AN23" s="190"/>
      <c r="AO23" s="190"/>
      <c r="AP23" s="190"/>
      <c r="AQ23" s="190"/>
      <c r="AR23" s="247"/>
      <c r="AS23" s="189"/>
      <c r="AT23" s="189"/>
      <c r="AU23" s="187"/>
      <c r="AV23" s="189"/>
      <c r="AW23" s="189"/>
      <c r="AX23" s="71"/>
      <c r="AY23" s="233"/>
      <c r="AZ23" s="189"/>
      <c r="BA23" s="187"/>
      <c r="BB23" s="189"/>
      <c r="BC23" s="233"/>
      <c r="BD23" s="192"/>
      <c r="BE23" s="192"/>
      <c r="BF23" s="192"/>
      <c r="BG23" s="192"/>
    </row>
    <row r="24" spans="1:59" ht="12" customHeight="1" x14ac:dyDescent="0.25">
      <c r="A24" s="46"/>
      <c r="B24" s="42"/>
      <c r="C24" s="36" t="s">
        <v>50</v>
      </c>
      <c r="D24" s="288">
        <v>140206.78</v>
      </c>
      <c r="E24" s="35" t="s">
        <v>49</v>
      </c>
      <c r="F24" s="47"/>
      <c r="H24" s="1"/>
      <c r="J24" s="187"/>
      <c r="K24" s="187"/>
      <c r="L24" s="187"/>
      <c r="M24" s="187"/>
      <c r="N24" s="187"/>
      <c r="O24" s="187"/>
      <c r="Q24" s="188"/>
      <c r="R24" s="188"/>
      <c r="S24" s="188"/>
      <c r="T24" s="188"/>
      <c r="U24" s="188"/>
      <c r="V24" s="188"/>
      <c r="X24" s="189"/>
      <c r="Y24" s="189"/>
      <c r="Z24" s="189"/>
      <c r="AA24" s="189"/>
      <c r="AB24" s="189"/>
      <c r="AC24" s="189"/>
      <c r="AE24" s="189"/>
      <c r="AF24" s="189"/>
      <c r="AG24" s="189"/>
      <c r="AH24" s="189"/>
      <c r="AI24" s="189"/>
      <c r="AJ24" s="189"/>
      <c r="AK24" s="139"/>
      <c r="AL24" s="190"/>
      <c r="AM24" s="190"/>
      <c r="AN24" s="190"/>
      <c r="AO24" s="190"/>
      <c r="AP24" s="190"/>
      <c r="AQ24" s="190"/>
      <c r="AR24" s="139"/>
      <c r="AS24" s="189"/>
      <c r="AT24" s="189"/>
      <c r="AU24" s="187"/>
      <c r="AV24" s="189"/>
      <c r="AW24" s="189"/>
      <c r="AX24" s="71"/>
      <c r="AZ24" s="189"/>
      <c r="BA24" s="187"/>
      <c r="BB24" s="189"/>
      <c r="BD24" s="192"/>
      <c r="BE24" s="192"/>
      <c r="BF24" s="192"/>
      <c r="BG24" s="192"/>
    </row>
    <row r="25" spans="1:59" ht="12" customHeight="1" x14ac:dyDescent="0.25">
      <c r="A25" s="46"/>
      <c r="B25" s="42"/>
      <c r="C25" s="36" t="s">
        <v>51</v>
      </c>
      <c r="D25" s="288">
        <v>1628715.82</v>
      </c>
      <c r="E25" s="35" t="s">
        <v>49</v>
      </c>
      <c r="F25" s="47"/>
      <c r="H25" s="1"/>
      <c r="J25" s="187"/>
      <c r="K25" s="187"/>
      <c r="L25" s="187"/>
      <c r="M25" s="187"/>
      <c r="N25" s="187"/>
      <c r="O25" s="187"/>
      <c r="Q25" s="188"/>
      <c r="R25" s="188"/>
      <c r="S25" s="188"/>
      <c r="T25" s="188"/>
      <c r="U25" s="188"/>
      <c r="V25" s="188"/>
      <c r="X25" s="189"/>
      <c r="Y25" s="189"/>
      <c r="Z25" s="189"/>
      <c r="AA25" s="189"/>
      <c r="AB25" s="189"/>
      <c r="AC25" s="189"/>
      <c r="AE25" s="189"/>
      <c r="AF25" s="189"/>
      <c r="AG25" s="189"/>
      <c r="AH25" s="189"/>
      <c r="AI25" s="189"/>
      <c r="AJ25" s="189"/>
      <c r="AK25" s="139"/>
      <c r="AL25" s="190"/>
      <c r="AM25" s="190"/>
      <c r="AN25" s="190"/>
      <c r="AO25" s="190"/>
      <c r="AP25" s="190"/>
      <c r="AQ25" s="190"/>
      <c r="AR25" s="139"/>
      <c r="AS25" s="189"/>
      <c r="AT25" s="189"/>
      <c r="AU25" s="187"/>
      <c r="AV25" s="189"/>
      <c r="AW25" s="189"/>
      <c r="AX25" s="71"/>
      <c r="AZ25" s="189"/>
      <c r="BA25" s="187"/>
      <c r="BB25" s="189"/>
      <c r="BD25" s="192"/>
      <c r="BE25" s="192"/>
      <c r="BF25" s="192"/>
      <c r="BG25" s="192"/>
    </row>
    <row r="26" spans="1:59" ht="12" customHeight="1" x14ac:dyDescent="0.25">
      <c r="A26" s="46"/>
      <c r="B26" s="42"/>
      <c r="C26" s="36" t="s">
        <v>52</v>
      </c>
      <c r="D26" s="288">
        <v>3403495.15</v>
      </c>
      <c r="E26" s="35" t="s">
        <v>49</v>
      </c>
      <c r="F26" s="47"/>
      <c r="H26" s="1"/>
      <c r="J26" s="187"/>
      <c r="K26" s="187"/>
      <c r="L26" s="187"/>
      <c r="M26" s="187"/>
      <c r="N26" s="187"/>
      <c r="O26" s="187"/>
      <c r="Q26" s="188"/>
      <c r="R26" s="188"/>
      <c r="S26" s="188"/>
      <c r="T26" s="188"/>
      <c r="U26" s="188"/>
      <c r="V26" s="188"/>
      <c r="X26" s="189"/>
      <c r="Y26" s="189"/>
      <c r="Z26" s="189"/>
      <c r="AA26" s="189"/>
      <c r="AB26" s="189"/>
      <c r="AC26" s="189"/>
      <c r="AE26" s="189"/>
      <c r="AF26" s="189"/>
      <c r="AG26" s="189"/>
      <c r="AH26" s="189"/>
      <c r="AI26" s="189"/>
      <c r="AJ26" s="189"/>
      <c r="AK26" s="139"/>
      <c r="AL26" s="190"/>
      <c r="AM26" s="190"/>
      <c r="AN26" s="190"/>
      <c r="AO26" s="190"/>
      <c r="AP26" s="190"/>
      <c r="AQ26" s="190"/>
      <c r="AR26" s="139"/>
      <c r="AS26" s="189"/>
      <c r="AT26" s="189"/>
      <c r="AU26" s="187"/>
      <c r="AV26" s="189"/>
      <c r="AW26" s="189"/>
      <c r="AX26" s="71"/>
      <c r="AZ26" s="187"/>
      <c r="BA26" s="187"/>
      <c r="BB26" s="189"/>
      <c r="BD26" s="192"/>
      <c r="BE26" s="192"/>
      <c r="BF26" s="192"/>
      <c r="BG26" s="192"/>
    </row>
    <row r="27" spans="1:59" ht="12" customHeight="1" x14ac:dyDescent="0.25">
      <c r="A27" s="49"/>
      <c r="B27" s="50"/>
      <c r="C27" s="37" t="s">
        <v>53</v>
      </c>
      <c r="D27" s="305">
        <f>E27/3.5</f>
        <v>5.4285714285714288</v>
      </c>
      <c r="E27" s="289">
        <f>'DATOS DE EVALUACION'!N10</f>
        <v>19</v>
      </c>
      <c r="F27" s="52" t="s">
        <v>58</v>
      </c>
      <c r="H27" s="1"/>
      <c r="J27" s="187"/>
      <c r="K27" s="187"/>
      <c r="L27" s="187"/>
      <c r="M27" s="187"/>
      <c r="N27" s="187"/>
      <c r="O27" s="187"/>
      <c r="Q27" s="188"/>
      <c r="R27" s="188"/>
      <c r="S27" s="188"/>
      <c r="T27" s="188"/>
      <c r="U27" s="188"/>
      <c r="V27" s="188"/>
      <c r="X27" s="189"/>
      <c r="Y27" s="189"/>
      <c r="Z27" s="189"/>
      <c r="AA27" s="189"/>
      <c r="AB27" s="189"/>
      <c r="AC27" s="189"/>
      <c r="AE27" s="189"/>
      <c r="AF27" s="189"/>
      <c r="AG27" s="189"/>
      <c r="AH27" s="189"/>
      <c r="AI27" s="189"/>
      <c r="AJ27" s="189"/>
      <c r="AK27" s="139"/>
      <c r="AL27" s="190"/>
      <c r="AM27" s="190"/>
      <c r="AN27" s="190"/>
      <c r="AO27" s="190"/>
      <c r="AP27" s="190"/>
      <c r="AQ27" s="190"/>
      <c r="AR27" s="139"/>
      <c r="AS27" s="189"/>
      <c r="AT27" s="189"/>
      <c r="AU27" s="187"/>
      <c r="AV27" s="189"/>
      <c r="AW27" s="189"/>
      <c r="AX27" s="71"/>
      <c r="AZ27" s="189"/>
      <c r="BA27" s="187"/>
      <c r="BB27" s="187"/>
      <c r="BD27" s="192"/>
      <c r="BE27" s="192"/>
      <c r="BF27" s="192"/>
      <c r="BG27" s="192"/>
    </row>
    <row r="28" spans="1:59" ht="12" customHeight="1" x14ac:dyDescent="0.25">
      <c r="A28" s="81" t="s">
        <v>65</v>
      </c>
      <c r="B28" s="82" t="s">
        <v>66</v>
      </c>
      <c r="H28" s="1"/>
      <c r="J28" s="187"/>
      <c r="K28" s="187"/>
      <c r="L28" s="187"/>
      <c r="M28" s="187"/>
      <c r="N28" s="187"/>
      <c r="O28" s="187"/>
      <c r="Q28" s="188"/>
      <c r="R28" s="188"/>
      <c r="S28" s="188"/>
      <c r="T28" s="188"/>
      <c r="U28" s="188"/>
      <c r="V28" s="188"/>
      <c r="X28" s="189"/>
      <c r="Y28" s="189"/>
      <c r="Z28" s="189"/>
      <c r="AA28" s="189"/>
      <c r="AB28" s="189"/>
      <c r="AC28" s="189"/>
      <c r="AE28" s="189"/>
      <c r="AF28" s="189"/>
      <c r="AG28" s="189"/>
      <c r="AH28" s="189"/>
      <c r="AI28" s="189"/>
      <c r="AJ28" s="189"/>
      <c r="AK28" s="139"/>
      <c r="AL28" s="190"/>
      <c r="AM28" s="190"/>
      <c r="AN28" s="190"/>
      <c r="AO28" s="190"/>
      <c r="AP28" s="190"/>
      <c r="AQ28" s="190"/>
      <c r="AR28" s="139"/>
      <c r="AS28" s="189"/>
      <c r="AT28" s="189"/>
      <c r="AU28" s="187"/>
      <c r="AV28" s="189"/>
      <c r="AW28" s="189"/>
      <c r="AX28" s="71"/>
      <c r="AZ28" s="189"/>
      <c r="BA28" s="187"/>
      <c r="BB28" s="187"/>
      <c r="BD28" s="192"/>
      <c r="BE28" s="192"/>
      <c r="BF28" s="192"/>
      <c r="BG28" s="192"/>
    </row>
    <row r="29" spans="1:59" ht="12" customHeight="1" x14ac:dyDescent="0.25">
      <c r="A29" s="84" t="s">
        <v>70</v>
      </c>
      <c r="B29" s="82" t="s">
        <v>71</v>
      </c>
      <c r="H29" s="1"/>
      <c r="J29" s="187"/>
      <c r="K29" s="187"/>
      <c r="L29" s="187"/>
      <c r="M29" s="187"/>
      <c r="N29" s="187"/>
      <c r="O29" s="187"/>
      <c r="Q29" s="188"/>
      <c r="R29" s="188"/>
      <c r="S29" s="188"/>
      <c r="T29" s="188"/>
      <c r="U29" s="188"/>
      <c r="V29" s="188"/>
      <c r="X29" s="189"/>
      <c r="Y29" s="189"/>
      <c r="Z29" s="189"/>
      <c r="AA29" s="189"/>
      <c r="AB29" s="189"/>
      <c r="AC29" s="189"/>
      <c r="AE29" s="189"/>
      <c r="AF29" s="189"/>
      <c r="AG29" s="189"/>
      <c r="AH29" s="189"/>
      <c r="AI29" s="189"/>
      <c r="AJ29" s="189"/>
      <c r="AK29" s="139"/>
      <c r="AL29" s="190"/>
      <c r="AM29" s="190"/>
      <c r="AN29" s="190"/>
      <c r="AO29" s="190"/>
      <c r="AP29" s="190"/>
      <c r="AQ29" s="190"/>
      <c r="AR29" s="139"/>
      <c r="AS29" s="189"/>
      <c r="AT29" s="189"/>
      <c r="AU29" s="187"/>
      <c r="AV29" s="189"/>
      <c r="AW29" s="189"/>
      <c r="AX29" s="71"/>
      <c r="AZ29" s="189"/>
      <c r="BA29" s="187"/>
      <c r="BB29" s="187"/>
      <c r="BD29" s="192"/>
      <c r="BE29" s="192"/>
      <c r="BF29" s="192"/>
      <c r="BG29" s="192"/>
    </row>
    <row r="30" spans="1:59" ht="12" customHeight="1" x14ac:dyDescent="0.25">
      <c r="H30" s="1"/>
      <c r="J30" s="187"/>
      <c r="K30" s="187"/>
      <c r="L30" s="187"/>
      <c r="M30" s="187"/>
      <c r="N30" s="187"/>
      <c r="O30" s="187"/>
      <c r="Q30" s="188"/>
      <c r="R30" s="188"/>
      <c r="S30" s="188"/>
      <c r="T30" s="188"/>
      <c r="U30" s="188"/>
      <c r="V30" s="188"/>
      <c r="X30" s="189"/>
      <c r="Y30" s="189"/>
      <c r="Z30" s="189"/>
      <c r="AA30" s="189"/>
      <c r="AB30" s="189"/>
      <c r="AC30" s="189"/>
      <c r="AE30" s="189"/>
      <c r="AF30" s="189"/>
      <c r="AG30" s="189"/>
      <c r="AH30" s="189"/>
      <c r="AI30" s="189"/>
      <c r="AJ30" s="189"/>
      <c r="AK30" s="139"/>
      <c r="AL30" s="190"/>
      <c r="AM30" s="190"/>
      <c r="AN30" s="190"/>
      <c r="AO30" s="190"/>
      <c r="AP30" s="190"/>
      <c r="AQ30" s="190"/>
      <c r="AR30" s="139"/>
      <c r="AS30" s="189"/>
      <c r="AT30" s="189"/>
      <c r="AU30" s="187"/>
      <c r="AV30" s="189"/>
      <c r="AW30" s="189"/>
      <c r="AX30" s="71"/>
      <c r="AZ30" s="187"/>
      <c r="BA30" s="189"/>
      <c r="BB30" s="187"/>
      <c r="BD30" s="192"/>
      <c r="BE30" s="192"/>
      <c r="BF30" s="192"/>
      <c r="BG30" s="192"/>
    </row>
    <row r="31" spans="1:59" ht="12" customHeight="1" x14ac:dyDescent="0.25">
      <c r="D31" s="378" t="s">
        <v>54</v>
      </c>
      <c r="E31" s="378"/>
      <c r="F31" s="378"/>
      <c r="H31" s="1"/>
      <c r="J31" s="187"/>
      <c r="K31" s="187"/>
      <c r="L31" s="187"/>
      <c r="M31" s="187"/>
      <c r="N31" s="187"/>
      <c r="O31" s="187"/>
      <c r="Q31" s="188"/>
      <c r="R31" s="188"/>
      <c r="S31" s="188"/>
      <c r="T31" s="188"/>
      <c r="U31" s="188"/>
      <c r="V31" s="188"/>
      <c r="X31" s="189"/>
      <c r="Y31" s="189"/>
      <c r="Z31" s="189"/>
      <c r="AA31" s="189"/>
      <c r="AB31" s="189"/>
      <c r="AC31" s="189"/>
      <c r="AE31" s="189"/>
      <c r="AF31" s="189"/>
      <c r="AG31" s="189"/>
      <c r="AH31" s="189"/>
      <c r="AI31" s="189"/>
      <c r="AJ31" s="189"/>
      <c r="AK31" s="139"/>
      <c r="AL31" s="190"/>
      <c r="AM31" s="190"/>
      <c r="AN31" s="190"/>
      <c r="AO31" s="190"/>
      <c r="AP31" s="190"/>
      <c r="AQ31" s="190"/>
      <c r="AR31" s="139"/>
      <c r="AS31" s="189"/>
      <c r="AT31" s="189"/>
      <c r="AU31" s="187"/>
      <c r="AV31" s="189"/>
      <c r="AW31" s="189"/>
      <c r="AX31" s="71"/>
      <c r="AZ31" s="189"/>
      <c r="BA31" s="187"/>
      <c r="BB31" s="187"/>
      <c r="BD31" s="192"/>
      <c r="BE31" s="192"/>
      <c r="BF31" s="192"/>
      <c r="BG31" s="192"/>
    </row>
    <row r="32" spans="1:59" ht="12" customHeight="1" x14ac:dyDescent="0.25">
      <c r="H32" s="1"/>
      <c r="J32" s="187"/>
      <c r="K32" s="187"/>
      <c r="L32" s="187"/>
      <c r="M32" s="187"/>
      <c r="N32" s="187"/>
      <c r="O32" s="187"/>
      <c r="Q32" s="188"/>
      <c r="R32" s="188"/>
      <c r="S32" s="188"/>
      <c r="T32" s="188"/>
      <c r="U32" s="188"/>
      <c r="V32" s="188"/>
      <c r="X32" s="189"/>
      <c r="Y32" s="189"/>
      <c r="Z32" s="189"/>
      <c r="AA32" s="189"/>
      <c r="AB32" s="189"/>
      <c r="AC32" s="189"/>
      <c r="AE32" s="189"/>
      <c r="AF32" s="189"/>
      <c r="AG32" s="189"/>
      <c r="AH32" s="189"/>
      <c r="AI32" s="189"/>
      <c r="AJ32" s="189"/>
      <c r="AK32" s="139"/>
      <c r="AL32" s="190"/>
      <c r="AM32" s="190"/>
      <c r="AN32" s="190"/>
      <c r="AO32" s="190"/>
      <c r="AP32" s="190"/>
      <c r="AQ32" s="190"/>
      <c r="AR32" s="139"/>
      <c r="AS32" s="189"/>
      <c r="AT32" s="189"/>
      <c r="AU32" s="187"/>
      <c r="AV32" s="189"/>
      <c r="AW32" s="189"/>
      <c r="AX32" s="71"/>
      <c r="AZ32" s="189"/>
      <c r="BA32" s="187"/>
      <c r="BB32" s="187"/>
      <c r="BD32" s="192"/>
      <c r="BE32" s="192"/>
      <c r="BF32" s="192"/>
      <c r="BG32" s="192"/>
    </row>
    <row r="33" spans="8:59" ht="12" customHeight="1" x14ac:dyDescent="0.25">
      <c r="H33" s="1"/>
      <c r="J33" s="187"/>
      <c r="K33" s="187"/>
      <c r="L33" s="187"/>
      <c r="M33" s="187"/>
      <c r="N33" s="187"/>
      <c r="O33" s="187"/>
      <c r="Q33" s="188"/>
      <c r="R33" s="188"/>
      <c r="S33" s="188"/>
      <c r="T33" s="188"/>
      <c r="U33" s="188"/>
      <c r="V33" s="188"/>
      <c r="X33" s="189"/>
      <c r="Y33" s="189"/>
      <c r="Z33" s="189"/>
      <c r="AA33" s="189"/>
      <c r="AB33" s="189"/>
      <c r="AC33" s="189"/>
      <c r="AE33" s="189"/>
      <c r="AF33" s="189"/>
      <c r="AG33" s="189"/>
      <c r="AH33" s="189"/>
      <c r="AI33" s="189"/>
      <c r="AJ33" s="189"/>
      <c r="AK33" s="139"/>
      <c r="AL33" s="190"/>
      <c r="AM33" s="190"/>
      <c r="AN33" s="190"/>
      <c r="AO33" s="190"/>
      <c r="AP33" s="190"/>
      <c r="AQ33" s="190"/>
      <c r="AR33" s="139"/>
      <c r="AS33" s="189"/>
      <c r="AT33" s="189"/>
      <c r="AU33" s="187"/>
      <c r="AV33" s="189"/>
      <c r="AW33" s="189"/>
      <c r="AX33" s="71"/>
      <c r="AZ33" s="189"/>
      <c r="BA33" s="187"/>
      <c r="BB33" s="187"/>
      <c r="BD33" s="192"/>
      <c r="BE33" s="192"/>
      <c r="BF33" s="192"/>
      <c r="BG33" s="192"/>
    </row>
    <row r="34" spans="8:59" ht="12" customHeight="1" x14ac:dyDescent="0.25">
      <c r="H34" s="1"/>
      <c r="J34" s="187"/>
      <c r="K34" s="187"/>
      <c r="L34" s="187"/>
      <c r="M34" s="187"/>
      <c r="N34" s="187"/>
      <c r="O34" s="187"/>
      <c r="Q34" s="188"/>
      <c r="R34" s="188"/>
      <c r="S34" s="188"/>
      <c r="T34" s="188"/>
      <c r="U34" s="188"/>
      <c r="V34" s="188"/>
      <c r="X34" s="189"/>
      <c r="Y34" s="189"/>
      <c r="Z34" s="189"/>
      <c r="AA34" s="189"/>
      <c r="AB34" s="189"/>
      <c r="AC34" s="189"/>
      <c r="AE34" s="189"/>
      <c r="AF34" s="189"/>
      <c r="AG34" s="189"/>
      <c r="AH34" s="189"/>
      <c r="AI34" s="189"/>
      <c r="AJ34" s="189"/>
      <c r="AK34" s="139"/>
      <c r="AL34" s="190"/>
      <c r="AM34" s="190"/>
      <c r="AN34" s="190"/>
      <c r="AO34" s="190"/>
      <c r="AP34" s="190"/>
      <c r="AQ34" s="190"/>
      <c r="AR34" s="139"/>
      <c r="AS34" s="189"/>
      <c r="AT34" s="189"/>
      <c r="AU34" s="187"/>
      <c r="AV34" s="189"/>
      <c r="AW34" s="189"/>
      <c r="AX34" s="71"/>
      <c r="AZ34" s="187"/>
      <c r="BA34" s="187"/>
      <c r="BB34" s="189"/>
      <c r="BD34" s="192"/>
      <c r="BE34" s="192"/>
      <c r="BF34" s="192"/>
      <c r="BG34" s="192"/>
    </row>
    <row r="35" spans="8:59" ht="12" customHeight="1" x14ac:dyDescent="0.25">
      <c r="H35" s="1"/>
      <c r="J35" s="187"/>
      <c r="K35" s="187"/>
      <c r="L35" s="187"/>
      <c r="M35" s="187"/>
      <c r="N35" s="187"/>
      <c r="O35" s="187"/>
      <c r="Q35" s="188"/>
      <c r="R35" s="188"/>
      <c r="S35" s="188"/>
      <c r="T35" s="188"/>
      <c r="U35" s="188"/>
      <c r="V35" s="188"/>
      <c r="X35" s="189"/>
      <c r="Y35" s="189"/>
      <c r="Z35" s="189"/>
      <c r="AA35" s="189"/>
      <c r="AB35" s="189"/>
      <c r="AC35" s="189"/>
      <c r="AE35" s="189"/>
      <c r="AF35" s="189"/>
      <c r="AG35" s="189"/>
      <c r="AH35" s="189"/>
      <c r="AI35" s="189"/>
      <c r="AJ35" s="189"/>
      <c r="AK35" s="139"/>
      <c r="AL35" s="190"/>
      <c r="AM35" s="190"/>
      <c r="AN35" s="190"/>
      <c r="AO35" s="190"/>
      <c r="AP35" s="190"/>
      <c r="AQ35" s="190"/>
      <c r="AR35" s="139"/>
      <c r="AS35" s="189"/>
      <c r="AT35" s="189"/>
      <c r="AU35" s="187"/>
      <c r="AV35" s="189"/>
      <c r="AW35" s="189"/>
      <c r="AX35" s="71"/>
      <c r="AZ35" s="189"/>
      <c r="BA35" s="187"/>
      <c r="BB35" s="187"/>
      <c r="BD35" s="192"/>
      <c r="BE35" s="192"/>
      <c r="BF35" s="192"/>
      <c r="BG35" s="192"/>
    </row>
    <row r="36" spans="8:59" ht="12" customHeight="1" x14ac:dyDescent="0.25">
      <c r="H36" s="1"/>
      <c r="J36" s="187"/>
      <c r="K36" s="187"/>
      <c r="L36" s="187"/>
      <c r="M36" s="187"/>
      <c r="N36" s="187"/>
      <c r="O36" s="187"/>
      <c r="Q36" s="188"/>
      <c r="R36" s="188"/>
      <c r="S36" s="188"/>
      <c r="T36" s="188"/>
      <c r="U36" s="188"/>
      <c r="V36" s="188"/>
      <c r="X36" s="189"/>
      <c r="Y36" s="189"/>
      <c r="Z36" s="189" t="s">
        <v>136</v>
      </c>
      <c r="AA36" s="189"/>
      <c r="AB36" s="189"/>
      <c r="AC36" s="189"/>
      <c r="AE36" s="189"/>
      <c r="AF36" s="189"/>
      <c r="AG36" s="189"/>
      <c r="AH36" s="189"/>
      <c r="AI36" s="189"/>
      <c r="AJ36" s="189"/>
      <c r="AK36" s="139"/>
      <c r="AL36" s="190"/>
      <c r="AM36" s="190"/>
      <c r="AN36" s="190"/>
      <c r="AO36" s="190"/>
      <c r="AP36" s="190"/>
      <c r="AQ36" s="190"/>
      <c r="AR36" s="139"/>
      <c r="AS36" s="189"/>
      <c r="AT36" s="189"/>
      <c r="AU36" s="187"/>
      <c r="AV36" s="189"/>
      <c r="AW36" s="189"/>
      <c r="AX36" s="71"/>
      <c r="AZ36" s="189"/>
      <c r="BA36" s="187"/>
      <c r="BB36" s="187"/>
      <c r="BD36" s="192"/>
      <c r="BE36" s="192"/>
      <c r="BF36" s="192"/>
      <c r="BG36" s="192"/>
    </row>
    <row r="37" spans="8:59" x14ac:dyDescent="0.25">
      <c r="J37" s="187"/>
      <c r="K37" s="187"/>
      <c r="L37" s="187"/>
      <c r="M37" s="187"/>
      <c r="N37" s="187"/>
      <c r="O37" s="187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BF37" s="203" t="s">
        <v>123</v>
      </c>
      <c r="BG37" s="204">
        <f>BG6+NPV($D$21,BG7:BG36)</f>
        <v>375230.85966546042</v>
      </c>
    </row>
    <row r="38" spans="8:59" x14ac:dyDescent="0.25">
      <c r="J38" s="187"/>
      <c r="K38" s="187"/>
      <c r="L38" s="187"/>
      <c r="M38" s="187"/>
      <c r="N38" s="187"/>
      <c r="O38" s="187"/>
      <c r="AZ38" s="22"/>
      <c r="BA38" s="22"/>
      <c r="BB38" s="22"/>
    </row>
    <row r="39" spans="8:59" x14ac:dyDescent="0.25">
      <c r="J39" s="187"/>
      <c r="K39" s="187"/>
      <c r="L39" s="187"/>
      <c r="M39" s="187"/>
      <c r="N39" s="187"/>
      <c r="O39" s="187"/>
      <c r="BB39" s="22"/>
    </row>
    <row r="40" spans="8:59" hidden="1" x14ac:dyDescent="0.25">
      <c r="H40" s="379" t="s">
        <v>59</v>
      </c>
      <c r="I40" s="130"/>
      <c r="J40" s="381" t="s">
        <v>120</v>
      </c>
      <c r="K40" s="381"/>
      <c r="L40" s="381"/>
      <c r="M40" s="381"/>
      <c r="N40" s="381"/>
      <c r="O40" s="290">
        <f>SENSIBILIDAD!P20</f>
        <v>0</v>
      </c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381" t="s">
        <v>120</v>
      </c>
      <c r="AF40" s="381"/>
      <c r="AG40" s="381"/>
      <c r="AH40" s="381"/>
      <c r="AI40" s="381"/>
      <c r="AJ40" s="381"/>
      <c r="AK40" s="130"/>
      <c r="AL40" s="162"/>
      <c r="AM40" s="162"/>
      <c r="AN40" s="162"/>
      <c r="AO40" s="162"/>
      <c r="AP40" s="162"/>
      <c r="AQ40" s="162"/>
      <c r="AR40" s="130"/>
      <c r="AS40" s="381" t="s">
        <v>120</v>
      </c>
      <c r="AT40" s="381"/>
      <c r="AU40" s="381"/>
      <c r="AV40" s="381"/>
      <c r="AW40" s="381"/>
      <c r="AX40" s="381"/>
      <c r="AY40" s="130"/>
      <c r="AZ40" s="130"/>
      <c r="BA40" s="130"/>
      <c r="BB40" s="130"/>
      <c r="BC40" s="130"/>
      <c r="BD40" s="382" t="s">
        <v>121</v>
      </c>
      <c r="BE40" s="382"/>
      <c r="BF40" s="382"/>
      <c r="BG40" s="382"/>
    </row>
    <row r="41" spans="8:59" hidden="1" x14ac:dyDescent="0.25">
      <c r="H41" s="379"/>
      <c r="I41" s="130"/>
      <c r="J41" s="383" t="s">
        <v>159</v>
      </c>
      <c r="K41" s="383"/>
      <c r="L41" s="383"/>
      <c r="M41" s="384" t="s">
        <v>160</v>
      </c>
      <c r="N41" s="383"/>
      <c r="O41" s="383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383" t="s">
        <v>159</v>
      </c>
      <c r="AF41" s="383"/>
      <c r="AG41" s="383"/>
      <c r="AH41" s="384" t="s">
        <v>160</v>
      </c>
      <c r="AI41" s="383"/>
      <c r="AJ41" s="383"/>
      <c r="AK41" s="130"/>
      <c r="AL41" s="163"/>
      <c r="AM41" s="163"/>
      <c r="AN41" s="163"/>
      <c r="AO41" s="163"/>
      <c r="AP41" s="163"/>
      <c r="AQ41" s="163"/>
      <c r="AR41" s="130"/>
      <c r="AS41" s="383" t="s">
        <v>159</v>
      </c>
      <c r="AT41" s="383"/>
      <c r="AU41" s="383"/>
      <c r="AV41" s="384" t="s">
        <v>160</v>
      </c>
      <c r="AW41" s="383"/>
      <c r="AX41" s="383"/>
      <c r="AY41" s="130"/>
      <c r="AZ41" s="130"/>
      <c r="BA41" s="130"/>
      <c r="BB41" s="130"/>
      <c r="BC41" s="130"/>
      <c r="BD41" s="382"/>
      <c r="BE41" s="382"/>
      <c r="BF41" s="382"/>
      <c r="BG41" s="382"/>
    </row>
    <row r="42" spans="8:59" ht="15.75" hidden="1" thickBot="1" x14ac:dyDescent="0.3">
      <c r="H42" s="380"/>
      <c r="I42" s="130"/>
      <c r="J42" s="195" t="s">
        <v>21</v>
      </c>
      <c r="K42" s="196" t="s">
        <v>60</v>
      </c>
      <c r="L42" s="291" t="s">
        <v>19</v>
      </c>
      <c r="M42" s="292" t="s">
        <v>21</v>
      </c>
      <c r="N42" s="196" t="s">
        <v>60</v>
      </c>
      <c r="O42" s="197" t="s">
        <v>19</v>
      </c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95" t="s">
        <v>21</v>
      </c>
      <c r="AF42" s="196" t="s">
        <v>60</v>
      </c>
      <c r="AG42" s="291" t="s">
        <v>19</v>
      </c>
      <c r="AH42" s="292" t="s">
        <v>21</v>
      </c>
      <c r="AI42" s="196" t="s">
        <v>60</v>
      </c>
      <c r="AJ42" s="197" t="s">
        <v>19</v>
      </c>
      <c r="AK42" s="130"/>
      <c r="AL42" s="159"/>
      <c r="AM42" s="159"/>
      <c r="AN42" s="159"/>
      <c r="AO42" s="159"/>
      <c r="AP42" s="159"/>
      <c r="AQ42" s="159"/>
      <c r="AR42" s="130"/>
      <c r="AS42" s="195" t="s">
        <v>21</v>
      </c>
      <c r="AT42" s="196" t="s">
        <v>60</v>
      </c>
      <c r="AU42" s="291" t="s">
        <v>19</v>
      </c>
      <c r="AV42" s="292" t="s">
        <v>21</v>
      </c>
      <c r="AW42" s="196" t="s">
        <v>60</v>
      </c>
      <c r="AX42" s="197" t="s">
        <v>19</v>
      </c>
      <c r="AY42" s="130"/>
      <c r="AZ42" s="130"/>
      <c r="BA42" s="130"/>
      <c r="BB42" s="130"/>
      <c r="BC42" s="130"/>
      <c r="BD42" s="201" t="s">
        <v>75</v>
      </c>
      <c r="BE42" s="202" t="s">
        <v>76</v>
      </c>
      <c r="BF42" s="202" t="s">
        <v>77</v>
      </c>
      <c r="BG42" s="201" t="s">
        <v>78</v>
      </c>
    </row>
    <row r="43" spans="8:59" ht="15.75" hidden="1" thickTop="1" x14ac:dyDescent="0.25">
      <c r="H43" s="315">
        <v>-1</v>
      </c>
      <c r="I43" s="130"/>
      <c r="J43" s="316">
        <f t="shared" ref="J43:O43" si="22">J6*(1+$O$40)</f>
        <v>470.71000000000004</v>
      </c>
      <c r="K43" s="317">
        <f t="shared" si="22"/>
        <v>2.06</v>
      </c>
      <c r="L43" s="318">
        <f t="shared" si="22"/>
        <v>20.6</v>
      </c>
      <c r="M43" s="319">
        <f t="shared" si="22"/>
        <v>488.22</v>
      </c>
      <c r="N43" s="317">
        <f t="shared" si="22"/>
        <v>2.06</v>
      </c>
      <c r="O43" s="320">
        <f t="shared" si="22"/>
        <v>22.66</v>
      </c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310">
        <f t="shared" ref="AE43:AJ44" si="23">X6*J43*$D$4/1000</f>
        <v>33.451627487200007</v>
      </c>
      <c r="AF43" s="311">
        <f t="shared" si="23"/>
        <v>0.33135534659999999</v>
      </c>
      <c r="AG43" s="312">
        <f t="shared" si="23"/>
        <v>2.6494896000000003</v>
      </c>
      <c r="AH43" s="313">
        <f t="shared" si="23"/>
        <v>36.561751985639994</v>
      </c>
      <c r="AI43" s="311">
        <f t="shared" si="23"/>
        <v>0.33645352935999995</v>
      </c>
      <c r="AJ43" s="314">
        <f t="shared" si="23"/>
        <v>2.9366356161999998</v>
      </c>
      <c r="AK43" s="130"/>
      <c r="AL43" s="160"/>
      <c r="AM43" s="160"/>
      <c r="AN43" s="160"/>
      <c r="AO43" s="160"/>
      <c r="AP43" s="160"/>
      <c r="AQ43" s="160"/>
      <c r="AR43" s="130"/>
      <c r="AS43" s="310">
        <f>(AL6*J43*($D$14*$D$17))/1000</f>
        <v>4.1058345849056606</v>
      </c>
      <c r="AT43" s="311">
        <f>(AM6*K43*($D$14*$D$18))/1000</f>
        <v>0.21903773999999998</v>
      </c>
      <c r="AU43" s="312">
        <f>(AN6*L43*($D$14*0))/1000</f>
        <v>0</v>
      </c>
      <c r="AV43" s="313">
        <f>(AO6*M43*($D$14*$D$17))/1000</f>
        <v>4.9066109999999998</v>
      </c>
      <c r="AW43" s="311">
        <f>(AP6*N43*($D$14*$D$18))/1000</f>
        <v>0.24890652272727273</v>
      </c>
      <c r="AX43" s="314">
        <f>(AQ6*O43*($D$14*0))/1000</f>
        <v>0</v>
      </c>
      <c r="AY43" s="130"/>
      <c r="AZ43" s="130"/>
      <c r="BA43" s="130"/>
      <c r="BB43" s="130"/>
      <c r="BC43" s="130"/>
      <c r="BD43" s="308">
        <f>(AE43+AF43+AG43+AH43+AI43+AJ43)*365</f>
        <v>27837.569451224997</v>
      </c>
      <c r="BE43" s="309">
        <f>(AS43+AT43+AU43+AV43+AW43+AX43)*365</f>
        <v>3460.3422943860205</v>
      </c>
      <c r="BF43" s="309">
        <f t="shared" ref="BF43:BF48" si="24">AZ6+BA6+BB6</f>
        <v>0</v>
      </c>
      <c r="BG43" s="308">
        <f>SUM(BD43:BF43)</f>
        <v>31297.911745611018</v>
      </c>
    </row>
    <row r="44" spans="8:59" hidden="1" x14ac:dyDescent="0.25">
      <c r="H44" s="1">
        <v>0</v>
      </c>
      <c r="I44" s="130"/>
      <c r="J44" s="71">
        <f>J43*(1+$D$11)</f>
        <v>484.83130000000006</v>
      </c>
      <c r="K44" s="72">
        <f t="shared" ref="K44:O44" si="25">K43*(1+$D$11)</f>
        <v>2.1217999999999999</v>
      </c>
      <c r="L44" s="73">
        <f t="shared" si="25"/>
        <v>21.218000000000004</v>
      </c>
      <c r="M44" s="74">
        <f t="shared" si="25"/>
        <v>502.86660000000006</v>
      </c>
      <c r="N44" s="72">
        <f t="shared" si="25"/>
        <v>2.1217999999999999</v>
      </c>
      <c r="O44" s="71">
        <f t="shared" si="25"/>
        <v>23.3398</v>
      </c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86">
        <f t="shared" si="23"/>
        <v>34.932154314418597</v>
      </c>
      <c r="AF44" s="87">
        <f t="shared" si="23"/>
        <v>0.34188113578400003</v>
      </c>
      <c r="AG44" s="88">
        <f t="shared" si="23"/>
        <v>2.7333732461960003</v>
      </c>
      <c r="AH44" s="89">
        <f t="shared" si="23"/>
        <v>38.318949855398401</v>
      </c>
      <c r="AI44" s="87">
        <f t="shared" si="23"/>
        <v>0.34754239099239997</v>
      </c>
      <c r="AJ44" s="86">
        <f t="shared" si="23"/>
        <v>3.0314287727239995</v>
      </c>
      <c r="AK44" s="130"/>
      <c r="AL44" s="161"/>
      <c r="AM44" s="161"/>
      <c r="AN44" s="161"/>
      <c r="AO44" s="161"/>
      <c r="AP44" s="161"/>
      <c r="AQ44" s="161"/>
      <c r="AR44" s="130"/>
      <c r="AS44" s="86">
        <f>(AL7*J44*($D$14*$D$17))/1000</f>
        <v>4.3558799111264159</v>
      </c>
      <c r="AT44" s="87">
        <f>(AM7*K44*($D$14*$D$18))/1000</f>
        <v>0.23237713836599994</v>
      </c>
      <c r="AU44" s="88">
        <f>(AN7*L44*($D$14*0))/1000</f>
        <v>0</v>
      </c>
      <c r="AV44" s="89">
        <f>(AO7*M44*($D$14*$D$17))/1000</f>
        <v>5.2054236099000004</v>
      </c>
      <c r="AW44" s="87">
        <f>(AP7*N44*($D$14*$D$18))/1000</f>
        <v>0.2640649299613636</v>
      </c>
      <c r="AX44" s="86">
        <f>(AQ7*O44*($D$14*0))/1000</f>
        <v>0</v>
      </c>
      <c r="AY44" s="130"/>
      <c r="AZ44" s="130"/>
      <c r="BA44" s="130"/>
      <c r="BB44" s="130"/>
      <c r="BC44" s="130"/>
      <c r="BD44" s="98">
        <f t="shared" ref="BD44:BD58" si="26">(AE44+AF44+AG44+AH44+AI44+AJ44)*365</f>
        <v>29092.445346162393</v>
      </c>
      <c r="BE44" s="99">
        <f t="shared" ref="BE44:BE58" si="27">(AS44+AT44+AU44+AV44+AW44+AX44)*365</f>
        <v>3671.0771401141301</v>
      </c>
      <c r="BF44" s="99">
        <f t="shared" si="24"/>
        <v>829.93416857142847</v>
      </c>
      <c r="BG44" s="98">
        <f>SUM(BD44:BF44)</f>
        <v>33593.456654847956</v>
      </c>
    </row>
    <row r="45" spans="8:59" hidden="1" x14ac:dyDescent="0.25">
      <c r="H45" s="1">
        <v>1</v>
      </c>
      <c r="I45" s="130"/>
      <c r="J45" s="71">
        <f t="shared" ref="J45:O59" si="28">J44*(1+$D$11)</f>
        <v>499.37623900000006</v>
      </c>
      <c r="K45" s="72">
        <f t="shared" si="28"/>
        <v>2.185454</v>
      </c>
      <c r="L45" s="73">
        <f t="shared" si="28"/>
        <v>21.854540000000004</v>
      </c>
      <c r="M45" s="74">
        <f t="shared" si="28"/>
        <v>517.95259800000008</v>
      </c>
      <c r="N45" s="72">
        <f t="shared" si="28"/>
        <v>2.185454</v>
      </c>
      <c r="O45" s="71">
        <f t="shared" si="28"/>
        <v>24.039994</v>
      </c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86">
        <f t="shared" ref="AE45:AJ45" si="29">X8*J45*$D$4/1000</f>
        <v>36.240820306926061</v>
      </c>
      <c r="AF45" s="87">
        <f t="shared" si="29"/>
        <v>0.35427043309246392</v>
      </c>
      <c r="AG45" s="88">
        <f t="shared" si="29"/>
        <v>2.8322515683878002</v>
      </c>
      <c r="AH45" s="89">
        <f t="shared" si="29"/>
        <v>40.21114531930521</v>
      </c>
      <c r="AI45" s="87">
        <f t="shared" si="29"/>
        <v>0.36024186707117994</v>
      </c>
      <c r="AJ45" s="86">
        <f t="shared" si="29"/>
        <v>3.1373115305769597</v>
      </c>
      <c r="AK45" s="130"/>
      <c r="AL45" s="161"/>
      <c r="AM45" s="161"/>
      <c r="AN45" s="161"/>
      <c r="AO45" s="161"/>
      <c r="AP45" s="161"/>
      <c r="AQ45" s="161"/>
      <c r="AR45" s="130"/>
      <c r="AS45" s="86">
        <f t="shared" ref="AS45:AS58" si="30">(AL8*J45*($D$14*$D$17))/1000</f>
        <v>4.621152997714014</v>
      </c>
      <c r="AT45" s="87">
        <f t="shared" ref="AT45:AT58" si="31">(AM8*K45*($D$14*$D$18))/1000</f>
        <v>0.24652890609248937</v>
      </c>
      <c r="AU45" s="88">
        <f t="shared" ref="AU45:AU58" si="32">(AN8*L45*($D$14*0))/1000</f>
        <v>0</v>
      </c>
      <c r="AV45" s="89">
        <f t="shared" ref="AV45:AV58" si="33">(AO8*M45*($D$14*$D$17))/1000</f>
        <v>5.5224339077429105</v>
      </c>
      <c r="AW45" s="87">
        <f t="shared" ref="AW45:AW58" si="34">(AP8*N45*($D$14*$D$18))/1000</f>
        <v>0.28014648419601068</v>
      </c>
      <c r="AX45" s="86">
        <f t="shared" ref="AX45:AX58" si="35">(AQ8*O45*($D$14*0))/1000</f>
        <v>0</v>
      </c>
      <c r="AY45" s="130"/>
      <c r="AZ45" s="130"/>
      <c r="BA45" s="130"/>
      <c r="BB45" s="130"/>
      <c r="BC45" s="130"/>
      <c r="BD45" s="98">
        <f t="shared" si="26"/>
        <v>30344.654974256282</v>
      </c>
      <c r="BE45" s="99">
        <f t="shared" si="27"/>
        <v>3894.6457379470803</v>
      </c>
      <c r="BF45" s="99">
        <f t="shared" si="24"/>
        <v>829.93416857142847</v>
      </c>
      <c r="BG45" s="98">
        <f t="shared" ref="BG45:BG58" si="36">SUM(BD45:BF45)</f>
        <v>35069.234880774791</v>
      </c>
    </row>
    <row r="46" spans="8:59" hidden="1" x14ac:dyDescent="0.25">
      <c r="H46" s="1">
        <v>2</v>
      </c>
      <c r="I46" s="130"/>
      <c r="J46" s="71">
        <f t="shared" si="28"/>
        <v>514.35752617000003</v>
      </c>
      <c r="K46" s="72">
        <f t="shared" si="28"/>
        <v>2.2510176200000003</v>
      </c>
      <c r="L46" s="73">
        <f t="shared" si="28"/>
        <v>22.510176200000004</v>
      </c>
      <c r="M46" s="74">
        <f t="shared" si="28"/>
        <v>533.49117594000006</v>
      </c>
      <c r="N46" s="72">
        <f t="shared" si="28"/>
        <v>2.2510176200000003</v>
      </c>
      <c r="O46" s="71">
        <f t="shared" si="28"/>
        <v>24.761193819999999</v>
      </c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86">
        <f t="shared" ref="AE46:AJ46" si="37">X9*J46*$D$4/1000</f>
        <v>37.607640408924382</v>
      </c>
      <c r="AF46" s="87">
        <f t="shared" si="37"/>
        <v>0.36575063278900699</v>
      </c>
      <c r="AG46" s="88">
        <f t="shared" si="37"/>
        <v>2.9236752590753556</v>
      </c>
      <c r="AH46" s="89">
        <f t="shared" si="37"/>
        <v>41.826645004200962</v>
      </c>
      <c r="AI46" s="87">
        <f t="shared" si="37"/>
        <v>0.37234335466800494</v>
      </c>
      <c r="AJ46" s="86">
        <f t="shared" si="37"/>
        <v>3.2577466771070629</v>
      </c>
      <c r="AK46" s="130"/>
      <c r="AL46" s="161"/>
      <c r="AM46" s="161"/>
      <c r="AN46" s="161"/>
      <c r="AO46" s="161"/>
      <c r="AP46" s="161"/>
      <c r="AQ46" s="161"/>
      <c r="AR46" s="130"/>
      <c r="AS46" s="86">
        <f t="shared" si="30"/>
        <v>4.9025812152747976</v>
      </c>
      <c r="AT46" s="87">
        <f t="shared" si="31"/>
        <v>0.261542516473522</v>
      </c>
      <c r="AU46" s="88">
        <f t="shared" si="32"/>
        <v>0</v>
      </c>
      <c r="AV46" s="89">
        <f t="shared" si="33"/>
        <v>5.8587501327244524</v>
      </c>
      <c r="AW46" s="87">
        <f t="shared" si="34"/>
        <v>0.29720740508354776</v>
      </c>
      <c r="AX46" s="86">
        <f t="shared" si="35"/>
        <v>0</v>
      </c>
      <c r="AY46" s="130"/>
      <c r="AZ46" s="130"/>
      <c r="BA46" s="130"/>
      <c r="BB46" s="130"/>
      <c r="BC46" s="130"/>
      <c r="BD46" s="98">
        <f t="shared" si="26"/>
        <v>31519.137487919143</v>
      </c>
      <c r="BE46" s="99">
        <f t="shared" si="27"/>
        <v>4131.8296633880564</v>
      </c>
      <c r="BF46" s="99">
        <f t="shared" si="24"/>
        <v>829.93416857142847</v>
      </c>
      <c r="BG46" s="98">
        <f t="shared" si="36"/>
        <v>36480.901319878627</v>
      </c>
    </row>
    <row r="47" spans="8:59" hidden="1" x14ac:dyDescent="0.25">
      <c r="H47" s="1">
        <v>3</v>
      </c>
      <c r="I47" s="130"/>
      <c r="J47" s="71">
        <f t="shared" si="28"/>
        <v>529.78825195510001</v>
      </c>
      <c r="K47" s="72">
        <f t="shared" si="28"/>
        <v>2.3185481486000001</v>
      </c>
      <c r="L47" s="73">
        <f t="shared" si="28"/>
        <v>23.185481486000004</v>
      </c>
      <c r="M47" s="74">
        <f t="shared" si="28"/>
        <v>549.49591121820004</v>
      </c>
      <c r="N47" s="72">
        <f t="shared" si="28"/>
        <v>2.3185481486000001</v>
      </c>
      <c r="O47" s="71">
        <f t="shared" si="28"/>
        <v>25.504029634599998</v>
      </c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86">
        <f t="shared" ref="AE47:AJ47" si="38">X10*J47*$D$4/1000</f>
        <v>39.348586687802246</v>
      </c>
      <c r="AF47" s="87">
        <f t="shared" si="38"/>
        <v>0.37868141145027362</v>
      </c>
      <c r="AG47" s="88">
        <f t="shared" si="38"/>
        <v>3.0257943661719064</v>
      </c>
      <c r="AH47" s="89">
        <f t="shared" si="38"/>
        <v>43.522777490380989</v>
      </c>
      <c r="AI47" s="87">
        <f t="shared" si="38"/>
        <v>0.3849383289518189</v>
      </c>
      <c r="AJ47" s="86">
        <f t="shared" si="38"/>
        <v>3.3654886949390255</v>
      </c>
      <c r="AK47" s="130"/>
      <c r="AL47" s="161"/>
      <c r="AM47" s="161"/>
      <c r="AN47" s="161"/>
      <c r="AO47" s="161"/>
      <c r="AP47" s="161"/>
      <c r="AQ47" s="161"/>
      <c r="AR47" s="130"/>
      <c r="AS47" s="86">
        <f t="shared" si="30"/>
        <v>5.2011484112850308</v>
      </c>
      <c r="AT47" s="87">
        <f t="shared" si="31"/>
        <v>0.27747045572675949</v>
      </c>
      <c r="AU47" s="88">
        <f t="shared" si="32"/>
        <v>0</v>
      </c>
      <c r="AV47" s="89">
        <f t="shared" si="33"/>
        <v>6.2155480158073724</v>
      </c>
      <c r="AW47" s="87">
        <f t="shared" si="34"/>
        <v>0.31530733605313582</v>
      </c>
      <c r="AX47" s="86">
        <f t="shared" si="35"/>
        <v>0</v>
      </c>
      <c r="AY47" s="130"/>
      <c r="AZ47" s="130"/>
      <c r="BA47" s="130"/>
      <c r="BB47" s="130"/>
      <c r="BC47" s="130"/>
      <c r="BD47" s="98">
        <f t="shared" si="26"/>
        <v>32859.58744758914</v>
      </c>
      <c r="BE47" s="99">
        <f t="shared" si="27"/>
        <v>4383.4580898883887</v>
      </c>
      <c r="BF47" s="99">
        <f t="shared" si="24"/>
        <v>829.93416857142847</v>
      </c>
      <c r="BG47" s="98">
        <f t="shared" si="36"/>
        <v>38072.979706048958</v>
      </c>
    </row>
    <row r="48" spans="8:59" hidden="1" x14ac:dyDescent="0.25">
      <c r="H48" s="1">
        <v>4</v>
      </c>
      <c r="I48" s="130"/>
      <c r="J48" s="71">
        <f t="shared" si="28"/>
        <v>545.68189951375302</v>
      </c>
      <c r="K48" s="72">
        <f t="shared" si="28"/>
        <v>2.3881045930580003</v>
      </c>
      <c r="L48" s="73">
        <f t="shared" si="28"/>
        <v>23.881045930580004</v>
      </c>
      <c r="M48" s="74">
        <f t="shared" si="28"/>
        <v>565.98078855474603</v>
      </c>
      <c r="N48" s="72">
        <f t="shared" si="28"/>
        <v>2.3881045930580003</v>
      </c>
      <c r="O48" s="71">
        <f t="shared" si="28"/>
        <v>26.269150523638</v>
      </c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86">
        <f t="shared" ref="AE48:AJ48" si="39">X11*J48*$D$4/1000</f>
        <v>40.864950786683792</v>
      </c>
      <c r="AF48" s="87">
        <f t="shared" si="39"/>
        <v>0.39116202291041086</v>
      </c>
      <c r="AG48" s="88">
        <f t="shared" si="39"/>
        <v>3.1330472173772765</v>
      </c>
      <c r="AH48" s="89">
        <f t="shared" si="39"/>
        <v>45.304929478014074</v>
      </c>
      <c r="AI48" s="87">
        <f t="shared" si="39"/>
        <v>0.39805396858453745</v>
      </c>
      <c r="AJ48" s="86">
        <f t="shared" si="39"/>
        <v>3.4773046164855015</v>
      </c>
      <c r="AK48" s="130"/>
      <c r="AL48" s="161"/>
      <c r="AM48" s="161"/>
      <c r="AN48" s="161"/>
      <c r="AO48" s="161"/>
      <c r="AP48" s="161"/>
      <c r="AQ48" s="161"/>
      <c r="AR48" s="130"/>
      <c r="AS48" s="86">
        <f t="shared" si="30"/>
        <v>5.51789834953229</v>
      </c>
      <c r="AT48" s="87">
        <f t="shared" si="31"/>
        <v>0.29436840648051915</v>
      </c>
      <c r="AU48" s="88">
        <f t="shared" si="32"/>
        <v>0</v>
      </c>
      <c r="AV48" s="89">
        <f t="shared" si="33"/>
        <v>6.5940748899700399</v>
      </c>
      <c r="AW48" s="87">
        <f t="shared" si="34"/>
        <v>0.33450955281877176</v>
      </c>
      <c r="AX48" s="86">
        <f t="shared" si="35"/>
        <v>0</v>
      </c>
      <c r="AY48" s="130"/>
      <c r="AZ48" s="130"/>
      <c r="BA48" s="130"/>
      <c r="BB48" s="130"/>
      <c r="BC48" s="130"/>
      <c r="BD48" s="98">
        <f t="shared" si="26"/>
        <v>34152.848552870288</v>
      </c>
      <c r="BE48" s="99">
        <f t="shared" si="27"/>
        <v>4650.4106875625912</v>
      </c>
      <c r="BF48" s="99">
        <f t="shared" si="24"/>
        <v>3501.1635920000003</v>
      </c>
      <c r="BG48" s="98">
        <f t="shared" si="36"/>
        <v>42304.422832432872</v>
      </c>
    </row>
    <row r="49" spans="8:59" hidden="1" x14ac:dyDescent="0.25">
      <c r="H49" s="1">
        <v>5</v>
      </c>
      <c r="I49" s="130"/>
      <c r="J49" s="71">
        <f t="shared" si="28"/>
        <v>562.05235649916563</v>
      </c>
      <c r="K49" s="72">
        <f t="shared" si="28"/>
        <v>2.4597477308497404</v>
      </c>
      <c r="L49" s="73">
        <f t="shared" si="28"/>
        <v>24.597477308497407</v>
      </c>
      <c r="M49" s="74">
        <f t="shared" si="28"/>
        <v>582.96021221138847</v>
      </c>
      <c r="N49" s="72">
        <f t="shared" si="28"/>
        <v>2.4597477308497404</v>
      </c>
      <c r="O49" s="71">
        <f t="shared" si="28"/>
        <v>27.057225039347141</v>
      </c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86">
        <f t="shared" ref="AE49:AJ49" si="40">X12*J49*$D$4/1000</f>
        <v>43.222908727624457</v>
      </c>
      <c r="AF49" s="87">
        <f t="shared" si="40"/>
        <v>0.40413280352307046</v>
      </c>
      <c r="AG49" s="88">
        <f t="shared" si="40"/>
        <v>3.23620704839561</v>
      </c>
      <c r="AH49" s="89">
        <f t="shared" si="40"/>
        <v>47.178921005609837</v>
      </c>
      <c r="AI49" s="87">
        <f t="shared" si="40"/>
        <v>0.41171985604291284</v>
      </c>
      <c r="AJ49" s="86">
        <f t="shared" si="40"/>
        <v>3.6057758457669387</v>
      </c>
      <c r="AK49" s="130"/>
      <c r="AL49" s="161"/>
      <c r="AM49" s="161"/>
      <c r="AN49" s="161"/>
      <c r="AO49" s="161"/>
      <c r="AP49" s="161"/>
      <c r="AQ49" s="161"/>
      <c r="AR49" s="130"/>
      <c r="AS49" s="86">
        <f t="shared" si="30"/>
        <v>5.853938359018807</v>
      </c>
      <c r="AT49" s="87">
        <f t="shared" si="31"/>
        <v>0.31229544243518281</v>
      </c>
      <c r="AU49" s="88">
        <f t="shared" si="32"/>
        <v>0</v>
      </c>
      <c r="AV49" s="89">
        <f t="shared" si="33"/>
        <v>6.9956540507692182</v>
      </c>
      <c r="AW49" s="87">
        <f t="shared" si="34"/>
        <v>0.35488118458543494</v>
      </c>
      <c r="AX49" s="86">
        <f t="shared" si="35"/>
        <v>0</v>
      </c>
      <c r="AY49" s="130"/>
      <c r="AZ49" s="130"/>
      <c r="BA49" s="130"/>
      <c r="BB49" s="130"/>
      <c r="BC49" s="130"/>
      <c r="BD49" s="98">
        <f t="shared" si="26"/>
        <v>35791.777829741433</v>
      </c>
      <c r="BE49" s="99">
        <f t="shared" si="27"/>
        <v>4933.6206984351547</v>
      </c>
      <c r="BF49" s="99">
        <f t="shared" ref="BF49:BF58" si="41">AZ12+BA12+BB12</f>
        <v>829.93416857142847</v>
      </c>
      <c r="BG49" s="98">
        <f t="shared" si="36"/>
        <v>41555.332696748017</v>
      </c>
    </row>
    <row r="50" spans="8:59" hidden="1" x14ac:dyDescent="0.25">
      <c r="H50" s="1">
        <v>6</v>
      </c>
      <c r="I50" s="130"/>
      <c r="J50" s="71">
        <f t="shared" si="28"/>
        <v>578.91392719414057</v>
      </c>
      <c r="K50" s="72">
        <f t="shared" si="28"/>
        <v>2.5335401627752328</v>
      </c>
      <c r="L50" s="73">
        <f t="shared" si="28"/>
        <v>25.335401627752329</v>
      </c>
      <c r="M50" s="74">
        <f t="shared" si="28"/>
        <v>600.44901857773016</v>
      </c>
      <c r="N50" s="72">
        <f t="shared" si="28"/>
        <v>2.5335401627752328</v>
      </c>
      <c r="O50" s="71">
        <f t="shared" si="28"/>
        <v>27.868941790527558</v>
      </c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86">
        <f t="shared" ref="AE50:AJ50" si="42">X13*J50*$D$4/1000</f>
        <v>44.943865797103811</v>
      </c>
      <c r="AF50" s="87">
        <f t="shared" si="42"/>
        <v>0.41761905697304585</v>
      </c>
      <c r="AG50" s="88">
        <f t="shared" si="42"/>
        <v>3.3432366955951256</v>
      </c>
      <c r="AH50" s="89">
        <f t="shared" si="42"/>
        <v>49.736430334669706</v>
      </c>
      <c r="AI50" s="87">
        <f t="shared" si="42"/>
        <v>0.42596795348136696</v>
      </c>
      <c r="AJ50" s="86">
        <f t="shared" si="42"/>
        <v>3.7273803346843581</v>
      </c>
      <c r="AK50" s="130"/>
      <c r="AL50" s="161"/>
      <c r="AM50" s="161"/>
      <c r="AN50" s="161"/>
      <c r="AO50" s="161"/>
      <c r="AP50" s="161"/>
      <c r="AQ50" s="161"/>
      <c r="AR50" s="130"/>
      <c r="AS50" s="86">
        <f t="shared" si="30"/>
        <v>6.2104432050830516</v>
      </c>
      <c r="AT50" s="87">
        <f t="shared" si="31"/>
        <v>0.33131423487948547</v>
      </c>
      <c r="AU50" s="88">
        <f t="shared" si="32"/>
        <v>0</v>
      </c>
      <c r="AV50" s="89">
        <f t="shared" si="33"/>
        <v>7.4216893824610635</v>
      </c>
      <c r="AW50" s="87">
        <f t="shared" si="34"/>
        <v>0.376493448726688</v>
      </c>
      <c r="AX50" s="86">
        <f t="shared" si="35"/>
        <v>0</v>
      </c>
      <c r="AY50" s="130"/>
      <c r="AZ50" s="130"/>
      <c r="BA50" s="130"/>
      <c r="BB50" s="130"/>
      <c r="BC50" s="130"/>
      <c r="BD50" s="98">
        <f t="shared" si="26"/>
        <v>37446.992562965199</v>
      </c>
      <c r="BE50" s="99">
        <f t="shared" si="27"/>
        <v>5234.0781989698553</v>
      </c>
      <c r="BF50" s="99">
        <f t="shared" si="41"/>
        <v>829.93416857142847</v>
      </c>
      <c r="BG50" s="98">
        <f t="shared" si="36"/>
        <v>43511.004930506489</v>
      </c>
    </row>
    <row r="51" spans="8:59" hidden="1" x14ac:dyDescent="0.25">
      <c r="H51" s="1">
        <v>7</v>
      </c>
      <c r="I51" s="130"/>
      <c r="J51" s="71">
        <f t="shared" si="28"/>
        <v>596.28134500996475</v>
      </c>
      <c r="K51" s="72">
        <f t="shared" si="28"/>
        <v>2.6095463676584898</v>
      </c>
      <c r="L51" s="73">
        <f t="shared" si="28"/>
        <v>26.095463676584899</v>
      </c>
      <c r="M51" s="74">
        <f t="shared" si="28"/>
        <v>618.46248913506213</v>
      </c>
      <c r="N51" s="72">
        <f t="shared" si="28"/>
        <v>2.6095463676584898</v>
      </c>
      <c r="O51" s="71">
        <f t="shared" si="28"/>
        <v>28.705010044243384</v>
      </c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86">
        <f t="shared" ref="AE51:AJ51" si="43">X14*J51*$D$4/1000</f>
        <v>46.74950451882308</v>
      </c>
      <c r="AF51" s="87">
        <f t="shared" si="43"/>
        <v>0.43325148054195028</v>
      </c>
      <c r="AG51" s="88">
        <f t="shared" si="43"/>
        <v>3.4543133105985029</v>
      </c>
      <c r="AH51" s="89">
        <f t="shared" si="43"/>
        <v>51.862828268966538</v>
      </c>
      <c r="AI51" s="87">
        <f t="shared" si="43"/>
        <v>0.4430615586400744</v>
      </c>
      <c r="AJ51" s="86">
        <f t="shared" si="43"/>
        <v>3.8691094946899858</v>
      </c>
      <c r="AK51" s="130"/>
      <c r="AL51" s="161"/>
      <c r="AM51" s="161"/>
      <c r="AN51" s="161"/>
      <c r="AO51" s="161"/>
      <c r="AP51" s="161"/>
      <c r="AQ51" s="161"/>
      <c r="AR51" s="130"/>
      <c r="AS51" s="86">
        <f t="shared" si="30"/>
        <v>6.5886591962726087</v>
      </c>
      <c r="AT51" s="87">
        <f t="shared" si="31"/>
        <v>0.35149127178364614</v>
      </c>
      <c r="AU51" s="88">
        <f t="shared" si="32"/>
        <v>0</v>
      </c>
      <c r="AV51" s="89">
        <f t="shared" si="33"/>
        <v>7.8736702658529438</v>
      </c>
      <c r="AW51" s="87">
        <f t="shared" si="34"/>
        <v>0.39942189975414327</v>
      </c>
      <c r="AX51" s="86">
        <f t="shared" si="35"/>
        <v>0</v>
      </c>
      <c r="AY51" s="130"/>
      <c r="AZ51" s="130"/>
      <c r="BA51" s="130"/>
      <c r="BB51" s="130"/>
      <c r="BC51" s="130"/>
      <c r="BD51" s="98">
        <f t="shared" si="26"/>
        <v>38986.405050774942</v>
      </c>
      <c r="BE51" s="99">
        <f t="shared" si="27"/>
        <v>5552.8335612871206</v>
      </c>
      <c r="BF51" s="99">
        <f t="shared" si="41"/>
        <v>829.93416857142847</v>
      </c>
      <c r="BG51" s="98">
        <f t="shared" si="36"/>
        <v>45369.172780633497</v>
      </c>
    </row>
    <row r="52" spans="8:59" hidden="1" x14ac:dyDescent="0.25">
      <c r="H52" s="1">
        <v>8</v>
      </c>
      <c r="I52" s="130"/>
      <c r="J52" s="71">
        <f t="shared" si="28"/>
        <v>614.16978536026375</v>
      </c>
      <c r="K52" s="72">
        <f t="shared" si="28"/>
        <v>2.6878327586882444</v>
      </c>
      <c r="L52" s="73">
        <f t="shared" si="28"/>
        <v>26.878327586882445</v>
      </c>
      <c r="M52" s="74">
        <f t="shared" si="28"/>
        <v>637.01636380911395</v>
      </c>
      <c r="N52" s="72">
        <f t="shared" si="28"/>
        <v>2.6878327586882444</v>
      </c>
      <c r="O52" s="71">
        <f t="shared" si="28"/>
        <v>29.566160345570687</v>
      </c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86">
        <f t="shared" ref="AE52:AJ52" si="44">X15*J52*$D$4/1000</f>
        <v>48.645266259197712</v>
      </c>
      <c r="AF52" s="87">
        <f t="shared" si="44"/>
        <v>0.44801324849736018</v>
      </c>
      <c r="AG52" s="88">
        <f t="shared" si="44"/>
        <v>3.5948889064242149</v>
      </c>
      <c r="AH52" s="89">
        <f t="shared" si="44"/>
        <v>54.106946870527615</v>
      </c>
      <c r="AI52" s="87">
        <f t="shared" si="44"/>
        <v>0.45880581088663142</v>
      </c>
      <c r="AJ52" s="86">
        <f t="shared" si="44"/>
        <v>4.0018297104516556</v>
      </c>
      <c r="AK52" s="130"/>
      <c r="AL52" s="161"/>
      <c r="AM52" s="161"/>
      <c r="AN52" s="161"/>
      <c r="AO52" s="161"/>
      <c r="AP52" s="161"/>
      <c r="AQ52" s="161"/>
      <c r="AR52" s="130"/>
      <c r="AS52" s="86">
        <f t="shared" si="30"/>
        <v>6.9899085413256126</v>
      </c>
      <c r="AT52" s="87">
        <f t="shared" si="31"/>
        <v>0.37289709023527018</v>
      </c>
      <c r="AU52" s="88">
        <f t="shared" si="32"/>
        <v>0</v>
      </c>
      <c r="AV52" s="89">
        <f t="shared" si="33"/>
        <v>8.353176785043388</v>
      </c>
      <c r="AW52" s="87">
        <f t="shared" si="34"/>
        <v>0.42374669344917049</v>
      </c>
      <c r="AX52" s="86">
        <f t="shared" si="35"/>
        <v>0</v>
      </c>
      <c r="AY52" s="130"/>
      <c r="AZ52" s="130"/>
      <c r="BA52" s="130"/>
      <c r="BB52" s="130"/>
      <c r="BC52" s="130"/>
      <c r="BD52" s="98">
        <f t="shared" si="26"/>
        <v>40608.349044184593</v>
      </c>
      <c r="BE52" s="99">
        <f t="shared" si="27"/>
        <v>5891.0011251695059</v>
      </c>
      <c r="BF52" s="99">
        <f t="shared" si="41"/>
        <v>829.93416857142847</v>
      </c>
      <c r="BG52" s="98">
        <f t="shared" si="36"/>
        <v>47329.284337925528</v>
      </c>
    </row>
    <row r="53" spans="8:59" hidden="1" x14ac:dyDescent="0.25">
      <c r="H53" s="1">
        <v>9</v>
      </c>
      <c r="I53" s="130"/>
      <c r="J53" s="71">
        <f t="shared" si="28"/>
        <v>632.59487892107165</v>
      </c>
      <c r="K53" s="72">
        <f t="shared" si="28"/>
        <v>2.7684677414488919</v>
      </c>
      <c r="L53" s="73">
        <f t="shared" si="28"/>
        <v>27.68467741448892</v>
      </c>
      <c r="M53" s="74">
        <f t="shared" si="28"/>
        <v>656.1268547233874</v>
      </c>
      <c r="N53" s="72">
        <f t="shared" si="28"/>
        <v>2.7684677414488919</v>
      </c>
      <c r="O53" s="71">
        <f t="shared" si="28"/>
        <v>30.453145155937808</v>
      </c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86">
        <f t="shared" ref="AE53:AJ53" si="45">X16*J53*$D$4/1000</f>
        <v>51.195850413112495</v>
      </c>
      <c r="AF53" s="87">
        <f t="shared" si="45"/>
        <v>0.46339432522823015</v>
      </c>
      <c r="AG53" s="88">
        <f t="shared" si="45"/>
        <v>3.7315802390150972</v>
      </c>
      <c r="AH53" s="89">
        <f t="shared" si="45"/>
        <v>56.47778951928769</v>
      </c>
      <c r="AI53" s="87">
        <f t="shared" si="45"/>
        <v>0.47527030435275569</v>
      </c>
      <c r="AJ53" s="86">
        <f t="shared" si="45"/>
        <v>4.1399568989454156</v>
      </c>
      <c r="AK53" s="130"/>
      <c r="AL53" s="161"/>
      <c r="AM53" s="161"/>
      <c r="AN53" s="161"/>
      <c r="AO53" s="161"/>
      <c r="AP53" s="161"/>
      <c r="AQ53" s="161"/>
      <c r="AR53" s="130"/>
      <c r="AS53" s="86">
        <f t="shared" si="30"/>
        <v>7.4155939714923402</v>
      </c>
      <c r="AT53" s="87">
        <f t="shared" si="31"/>
        <v>0.39560652303059818</v>
      </c>
      <c r="AU53" s="88">
        <f t="shared" si="32"/>
        <v>0</v>
      </c>
      <c r="AV53" s="89">
        <f t="shared" si="33"/>
        <v>8.861885251252529</v>
      </c>
      <c r="AW53" s="87">
        <f t="shared" si="34"/>
        <v>0.44955286708022496</v>
      </c>
      <c r="AX53" s="86">
        <f t="shared" si="35"/>
        <v>0</v>
      </c>
      <c r="AY53" s="130"/>
      <c r="AZ53" s="130"/>
      <c r="BA53" s="130"/>
      <c r="BB53" s="130"/>
      <c r="BC53" s="130"/>
      <c r="BD53" s="98">
        <f t="shared" si="26"/>
        <v>42516.602220478715</v>
      </c>
      <c r="BE53" s="99">
        <f t="shared" si="27"/>
        <v>6249.7630936923279</v>
      </c>
      <c r="BF53" s="99">
        <f t="shared" si="41"/>
        <v>40671.360762285716</v>
      </c>
      <c r="BG53" s="98">
        <f t="shared" si="36"/>
        <v>89437.726076456762</v>
      </c>
    </row>
    <row r="54" spans="8:59" hidden="1" x14ac:dyDescent="0.25">
      <c r="H54" s="1">
        <v>10</v>
      </c>
      <c r="I54" s="130"/>
      <c r="J54" s="71">
        <f t="shared" si="28"/>
        <v>651.57272528870385</v>
      </c>
      <c r="K54" s="72">
        <f t="shared" si="28"/>
        <v>2.8515217736923586</v>
      </c>
      <c r="L54" s="73">
        <f t="shared" si="28"/>
        <v>28.515217736923589</v>
      </c>
      <c r="M54" s="74">
        <f t="shared" si="28"/>
        <v>675.81066036508901</v>
      </c>
      <c r="N54" s="72">
        <f t="shared" si="28"/>
        <v>2.8515217736923586</v>
      </c>
      <c r="O54" s="71">
        <f t="shared" si="28"/>
        <v>31.366739510615943</v>
      </c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86">
        <f t="shared" ref="AE54:AJ54" si="46">X17*J54*$D$4/1000</f>
        <v>53.335968408029615</v>
      </c>
      <c r="AF54" s="87">
        <f t="shared" si="46"/>
        <v>0.47943068442094872</v>
      </c>
      <c r="AG54" s="88">
        <f t="shared" si="46"/>
        <v>3.8435276461855503</v>
      </c>
      <c r="AH54" s="89">
        <f t="shared" si="46"/>
        <v>59.844961387331978</v>
      </c>
      <c r="AI54" s="87">
        <f t="shared" si="46"/>
        <v>0.49250361145939936</v>
      </c>
      <c r="AJ54" s="86">
        <f t="shared" si="46"/>
        <v>4.3044895943826473</v>
      </c>
      <c r="AK54" s="130"/>
      <c r="AL54" s="161"/>
      <c r="AM54" s="161"/>
      <c r="AN54" s="161"/>
      <c r="AO54" s="161"/>
      <c r="AP54" s="161"/>
      <c r="AQ54" s="161"/>
      <c r="AR54" s="130"/>
      <c r="AS54" s="86">
        <f t="shared" si="30"/>
        <v>7.8672036443562252</v>
      </c>
      <c r="AT54" s="87">
        <f t="shared" si="31"/>
        <v>0.41969896028316156</v>
      </c>
      <c r="AU54" s="88">
        <f t="shared" si="32"/>
        <v>0</v>
      </c>
      <c r="AV54" s="89">
        <f t="shared" si="33"/>
        <v>9.4015740630538076</v>
      </c>
      <c r="AW54" s="87">
        <f t="shared" si="34"/>
        <v>0.47693063668541069</v>
      </c>
      <c r="AX54" s="86">
        <f t="shared" si="35"/>
        <v>0</v>
      </c>
      <c r="AY54" s="130"/>
      <c r="AZ54" s="130"/>
      <c r="BA54" s="130"/>
      <c r="BB54" s="130"/>
      <c r="BC54" s="130"/>
      <c r="BD54" s="98">
        <f t="shared" si="26"/>
        <v>44639.821686110699</v>
      </c>
      <c r="BE54" s="99">
        <f t="shared" si="27"/>
        <v>6630.3736660981904</v>
      </c>
      <c r="BF54" s="99">
        <f t="shared" si="41"/>
        <v>829.93416857142847</v>
      </c>
      <c r="BG54" s="98">
        <f t="shared" si="36"/>
        <v>52100.12952078032</v>
      </c>
    </row>
    <row r="55" spans="8:59" hidden="1" x14ac:dyDescent="0.25">
      <c r="H55" s="1">
        <v>11</v>
      </c>
      <c r="I55" s="130"/>
      <c r="J55" s="71">
        <f t="shared" si="28"/>
        <v>671.11990704736502</v>
      </c>
      <c r="K55" s="72">
        <f t="shared" si="28"/>
        <v>2.9370674269031296</v>
      </c>
      <c r="L55" s="73">
        <f t="shared" si="28"/>
        <v>29.370674269031298</v>
      </c>
      <c r="M55" s="74">
        <f t="shared" si="28"/>
        <v>696.08498017604165</v>
      </c>
      <c r="N55" s="72">
        <f t="shared" si="28"/>
        <v>2.9370674269031296</v>
      </c>
      <c r="O55" s="71">
        <f t="shared" si="28"/>
        <v>32.307741695934425</v>
      </c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86">
        <f t="shared" ref="AE55:AJ55" si="47">X18*J55*$D$4/1000</f>
        <v>55.590245749981577</v>
      </c>
      <c r="AF55" s="87">
        <f t="shared" si="47"/>
        <v>0.49866968762173541</v>
      </c>
      <c r="AG55" s="88">
        <f t="shared" si="47"/>
        <v>3.9753703400115521</v>
      </c>
      <c r="AH55" s="89">
        <f t="shared" si="47"/>
        <v>62.577917206869628</v>
      </c>
      <c r="AI55" s="87">
        <f t="shared" si="47"/>
        <v>0.51055934188114427</v>
      </c>
      <c r="AJ55" s="86">
        <f t="shared" si="47"/>
        <v>4.4561395474020244</v>
      </c>
      <c r="AK55" s="130"/>
      <c r="AL55" s="161"/>
      <c r="AM55" s="161"/>
      <c r="AN55" s="161"/>
      <c r="AO55" s="161"/>
      <c r="AP55" s="161"/>
      <c r="AQ55" s="161"/>
      <c r="AR55" s="130"/>
      <c r="AS55" s="86">
        <f t="shared" si="30"/>
        <v>8.3463163462975221</v>
      </c>
      <c r="AT55" s="87">
        <f t="shared" si="31"/>
        <v>0.44525862696440621</v>
      </c>
      <c r="AU55" s="88">
        <f t="shared" si="32"/>
        <v>0</v>
      </c>
      <c r="AV55" s="89">
        <f t="shared" si="33"/>
        <v>9.9741299234937806</v>
      </c>
      <c r="AW55" s="87">
        <f t="shared" si="34"/>
        <v>0.50597571245955231</v>
      </c>
      <c r="AX55" s="86">
        <f t="shared" si="35"/>
        <v>0</v>
      </c>
      <c r="AY55" s="130"/>
      <c r="AZ55" s="130"/>
      <c r="BA55" s="130"/>
      <c r="BB55" s="130"/>
      <c r="BC55" s="130"/>
      <c r="BD55" s="98">
        <f t="shared" si="26"/>
        <v>46577.249183925203</v>
      </c>
      <c r="BE55" s="99">
        <f t="shared" si="27"/>
        <v>7034.1634223635701</v>
      </c>
      <c r="BF55" s="99">
        <f t="shared" si="41"/>
        <v>829.93416857142847</v>
      </c>
      <c r="BG55" s="98">
        <f t="shared" si="36"/>
        <v>54441.346774860205</v>
      </c>
    </row>
    <row r="56" spans="8:59" hidden="1" x14ac:dyDescent="0.25">
      <c r="H56" s="1">
        <v>12</v>
      </c>
      <c r="I56" s="130"/>
      <c r="J56" s="71">
        <f t="shared" si="28"/>
        <v>691.25350425878594</v>
      </c>
      <c r="K56" s="72">
        <f t="shared" si="28"/>
        <v>3.0251794497102238</v>
      </c>
      <c r="L56" s="73">
        <f t="shared" si="28"/>
        <v>30.251794497102239</v>
      </c>
      <c r="M56" s="74">
        <f t="shared" si="28"/>
        <v>716.96752958132288</v>
      </c>
      <c r="N56" s="72">
        <f t="shared" si="28"/>
        <v>3.0251794497102238</v>
      </c>
      <c r="O56" s="71">
        <f t="shared" si="28"/>
        <v>33.276973946812461</v>
      </c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86">
        <f t="shared" ref="AE56:AJ56" si="48">X19*J56*$D$4/1000</f>
        <v>57.966913776504896</v>
      </c>
      <c r="AF56" s="87">
        <f t="shared" si="48"/>
        <v>0.51638998223209776</v>
      </c>
      <c r="AG56" s="88">
        <f t="shared" si="48"/>
        <v>4.1125842566490265</v>
      </c>
      <c r="AH56" s="89">
        <f t="shared" si="48"/>
        <v>65.479365406589437</v>
      </c>
      <c r="AI56" s="87">
        <f t="shared" si="48"/>
        <v>0.52949660244976171</v>
      </c>
      <c r="AJ56" s="86">
        <f t="shared" si="48"/>
        <v>4.5898237338240859</v>
      </c>
      <c r="AK56" s="130"/>
      <c r="AL56" s="161"/>
      <c r="AM56" s="161"/>
      <c r="AN56" s="161"/>
      <c r="AO56" s="161"/>
      <c r="AP56" s="161"/>
      <c r="AQ56" s="161"/>
      <c r="AR56" s="130"/>
      <c r="AS56" s="86">
        <f t="shared" si="30"/>
        <v>8.8546070117870403</v>
      </c>
      <c r="AT56" s="87">
        <f t="shared" si="31"/>
        <v>0.4723748773465386</v>
      </c>
      <c r="AU56" s="88">
        <f t="shared" si="32"/>
        <v>0</v>
      </c>
      <c r="AV56" s="89">
        <f t="shared" si="33"/>
        <v>10.581554435834553</v>
      </c>
      <c r="AW56" s="87">
        <f t="shared" si="34"/>
        <v>0.53678963334833929</v>
      </c>
      <c r="AX56" s="86">
        <f t="shared" si="35"/>
        <v>0</v>
      </c>
      <c r="AY56" s="130"/>
      <c r="AZ56" s="130"/>
      <c r="BA56" s="130"/>
      <c r="BB56" s="130"/>
      <c r="BC56" s="130"/>
      <c r="BD56" s="98">
        <f t="shared" si="26"/>
        <v>48616.019421760997</v>
      </c>
      <c r="BE56" s="99">
        <f t="shared" si="27"/>
        <v>7462.5439747855116</v>
      </c>
      <c r="BF56" s="99">
        <f t="shared" si="41"/>
        <v>829.93416857142847</v>
      </c>
      <c r="BG56" s="98">
        <f t="shared" si="36"/>
        <v>56908.497565117941</v>
      </c>
    </row>
    <row r="57" spans="8:59" hidden="1" x14ac:dyDescent="0.25">
      <c r="H57" s="1">
        <v>13</v>
      </c>
      <c r="I57" s="130"/>
      <c r="J57" s="71">
        <f t="shared" si="28"/>
        <v>711.99110938654951</v>
      </c>
      <c r="K57" s="72">
        <f t="shared" si="28"/>
        <v>3.1159348332015306</v>
      </c>
      <c r="L57" s="73">
        <f t="shared" si="28"/>
        <v>31.159348332015306</v>
      </c>
      <c r="M57" s="74">
        <f t="shared" si="28"/>
        <v>738.47655546876263</v>
      </c>
      <c r="N57" s="72">
        <f t="shared" si="28"/>
        <v>3.1159348332015306</v>
      </c>
      <c r="O57" s="71">
        <f t="shared" si="28"/>
        <v>34.275283165216834</v>
      </c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86">
        <f t="shared" ref="AE57:AJ57" si="49">X20*J57*$D$4/1000</f>
        <v>60.475157808363491</v>
      </c>
      <c r="AF57" s="87">
        <f t="shared" si="49"/>
        <v>0.53492091468040803</v>
      </c>
      <c r="AG57" s="88">
        <f t="shared" si="49"/>
        <v>4.276029091819062</v>
      </c>
      <c r="AH57" s="89">
        <f t="shared" si="49"/>
        <v>68.564074381557674</v>
      </c>
      <c r="AI57" s="87">
        <f t="shared" si="49"/>
        <v>0.54938135128619936</v>
      </c>
      <c r="AJ57" s="86">
        <f t="shared" si="49"/>
        <v>4.779417462652483</v>
      </c>
      <c r="AK57" s="130"/>
      <c r="AL57" s="161"/>
      <c r="AM57" s="161"/>
      <c r="AN57" s="161"/>
      <c r="AO57" s="161"/>
      <c r="AP57" s="161"/>
      <c r="AQ57" s="161"/>
      <c r="AR57" s="130"/>
      <c r="AS57" s="86">
        <f t="shared" si="30"/>
        <v>9.3938525788048697</v>
      </c>
      <c r="AT57" s="87">
        <f t="shared" si="31"/>
        <v>0.50114250737694288</v>
      </c>
      <c r="AU57" s="88">
        <f t="shared" si="32"/>
        <v>0</v>
      </c>
      <c r="AV57" s="89">
        <f t="shared" si="33"/>
        <v>11.22597110097688</v>
      </c>
      <c r="AW57" s="87">
        <f t="shared" si="34"/>
        <v>0.56948012201925313</v>
      </c>
      <c r="AX57" s="86">
        <f t="shared" si="35"/>
        <v>0</v>
      </c>
      <c r="AY57" s="130"/>
      <c r="AZ57" s="130"/>
      <c r="BA57" s="130"/>
      <c r="BB57" s="130"/>
      <c r="BC57" s="130"/>
      <c r="BD57" s="98">
        <f t="shared" si="26"/>
        <v>50800.328068781149</v>
      </c>
      <c r="BE57" s="99">
        <f t="shared" si="27"/>
        <v>7917.0129028499505</v>
      </c>
      <c r="BF57" s="99">
        <f t="shared" si="41"/>
        <v>829.93416857142847</v>
      </c>
      <c r="BG57" s="98">
        <f t="shared" si="36"/>
        <v>59547.275140202531</v>
      </c>
    </row>
    <row r="58" spans="8:59" hidden="1" x14ac:dyDescent="0.25">
      <c r="H58" s="1">
        <v>14</v>
      </c>
      <c r="I58" s="130"/>
      <c r="J58" s="71">
        <f t="shared" si="28"/>
        <v>733.35084266814602</v>
      </c>
      <c r="K58" s="72">
        <f t="shared" si="28"/>
        <v>3.2094128781975768</v>
      </c>
      <c r="L58" s="73">
        <f t="shared" si="28"/>
        <v>32.094128781975769</v>
      </c>
      <c r="M58" s="74">
        <f t="shared" si="28"/>
        <v>760.63085213282557</v>
      </c>
      <c r="N58" s="72">
        <f t="shared" si="28"/>
        <v>3.2094128781975768</v>
      </c>
      <c r="O58" s="71">
        <f t="shared" si="28"/>
        <v>35.303541660173337</v>
      </c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86">
        <f t="shared" ref="AE58:AJ58" si="50">X21*J58*$D$4/1000</f>
        <v>63.125040893906096</v>
      </c>
      <c r="AF58" s="87">
        <f t="shared" si="50"/>
        <v>0.55431715365437118</v>
      </c>
      <c r="AG58" s="88">
        <f t="shared" si="50"/>
        <v>4.4266763629217936</v>
      </c>
      <c r="AH58" s="89">
        <f t="shared" si="50"/>
        <v>70.620996613004422</v>
      </c>
      <c r="AI58" s="87">
        <f t="shared" si="50"/>
        <v>0.57028705734094121</v>
      </c>
      <c r="AJ58" s="86">
        <f t="shared" si="50"/>
        <v>4.9518608029204616</v>
      </c>
      <c r="AK58" s="130"/>
      <c r="AL58" s="161"/>
      <c r="AM58" s="161"/>
      <c r="AN58" s="161"/>
      <c r="AO58" s="161"/>
      <c r="AP58" s="161"/>
      <c r="AQ58" s="161"/>
      <c r="AR58" s="130"/>
      <c r="AS58" s="86">
        <f t="shared" si="30"/>
        <v>9.9659382008540884</v>
      </c>
      <c r="AT58" s="87">
        <f t="shared" si="31"/>
        <v>0.5316620860761988</v>
      </c>
      <c r="AU58" s="88">
        <f t="shared" si="32"/>
        <v>0</v>
      </c>
      <c r="AV58" s="89">
        <f t="shared" si="33"/>
        <v>11.909632741026373</v>
      </c>
      <c r="AW58" s="87">
        <f t="shared" si="34"/>
        <v>0.60416146145022576</v>
      </c>
      <c r="AX58" s="86">
        <f t="shared" si="35"/>
        <v>0</v>
      </c>
      <c r="AY58" s="130"/>
      <c r="AZ58" s="130"/>
      <c r="BA58" s="130"/>
      <c r="BB58" s="130"/>
      <c r="BC58" s="130"/>
      <c r="BD58" s="98">
        <f t="shared" si="26"/>
        <v>52650.950292568057</v>
      </c>
      <c r="BE58" s="99">
        <f t="shared" si="27"/>
        <v>8399.1589886335132</v>
      </c>
      <c r="BF58" s="99">
        <f t="shared" si="41"/>
        <v>3501.1635920000003</v>
      </c>
      <c r="BG58" s="98">
        <f t="shared" si="36"/>
        <v>64551.272873201568</v>
      </c>
    </row>
    <row r="59" spans="8:59" hidden="1" x14ac:dyDescent="0.25">
      <c r="H59" s="1">
        <v>15</v>
      </c>
      <c r="I59" s="130"/>
      <c r="J59" s="71">
        <f t="shared" si="28"/>
        <v>755.35136794819039</v>
      </c>
      <c r="K59" s="72">
        <f t="shared" si="28"/>
        <v>3.305695264543504</v>
      </c>
      <c r="L59" s="73">
        <f t="shared" si="28"/>
        <v>33.05695264543504</v>
      </c>
      <c r="M59" s="74">
        <f t="shared" si="28"/>
        <v>783.44977769681032</v>
      </c>
      <c r="N59" s="72">
        <f t="shared" si="28"/>
        <v>3.305695264543504</v>
      </c>
      <c r="O59" s="71">
        <f t="shared" si="28"/>
        <v>36.362647909978541</v>
      </c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89"/>
      <c r="AF59" s="189"/>
      <c r="AG59" s="189"/>
      <c r="AH59" s="189"/>
      <c r="AI59" s="189"/>
      <c r="AJ59" s="189"/>
      <c r="AK59" s="130"/>
      <c r="AL59" s="161"/>
      <c r="AM59" s="161"/>
      <c r="AN59" s="161"/>
      <c r="AO59" s="161"/>
      <c r="AP59" s="161"/>
      <c r="AQ59" s="161"/>
      <c r="AR59" s="130"/>
      <c r="AS59" s="189"/>
      <c r="AT59" s="189"/>
      <c r="AU59" s="189"/>
      <c r="AV59" s="189"/>
      <c r="AW59" s="189"/>
      <c r="AX59" s="189"/>
      <c r="AY59" s="130"/>
      <c r="AZ59" s="130"/>
      <c r="BA59" s="130"/>
      <c r="BB59" s="130"/>
      <c r="BC59" s="130"/>
      <c r="BD59" s="294"/>
      <c r="BE59" s="294"/>
      <c r="BF59" s="294"/>
      <c r="BG59" s="294"/>
    </row>
    <row r="60" spans="8:59" x14ac:dyDescent="0.25">
      <c r="H60" s="293"/>
      <c r="I60" s="139"/>
      <c r="J60" s="187"/>
      <c r="K60" s="187"/>
      <c r="L60" s="187"/>
      <c r="M60" s="187"/>
      <c r="N60" s="187"/>
      <c r="O60" s="187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89"/>
      <c r="AF60" s="189"/>
      <c r="AG60" s="189"/>
      <c r="AH60" s="189"/>
      <c r="AI60" s="189"/>
      <c r="AJ60" s="189"/>
      <c r="AK60" s="130"/>
      <c r="AL60" s="161"/>
      <c r="AM60" s="161"/>
      <c r="AN60" s="161"/>
      <c r="AO60" s="161"/>
      <c r="AP60" s="161"/>
      <c r="AQ60" s="161"/>
      <c r="AR60" s="130"/>
      <c r="AS60" s="189"/>
      <c r="AT60" s="189"/>
      <c r="AU60" s="189"/>
      <c r="AV60" s="189"/>
      <c r="AW60" s="189"/>
      <c r="AX60" s="189"/>
      <c r="AY60" s="130"/>
      <c r="AZ60" s="130"/>
      <c r="BA60" s="130"/>
      <c r="BB60" s="130"/>
      <c r="BC60" s="130"/>
      <c r="BD60" s="294"/>
      <c r="BE60" s="294"/>
      <c r="BF60" s="294"/>
      <c r="BG60" s="294"/>
    </row>
    <row r="61" spans="8:59" x14ac:dyDescent="0.25">
      <c r="H61" s="293"/>
      <c r="I61" s="139"/>
      <c r="J61" s="187"/>
      <c r="K61" s="187"/>
      <c r="L61" s="187"/>
      <c r="M61" s="187"/>
      <c r="N61" s="187"/>
      <c r="O61" s="187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89"/>
      <c r="AF61" s="189"/>
      <c r="AG61" s="189"/>
      <c r="AH61" s="189"/>
      <c r="AI61" s="189"/>
      <c r="AJ61" s="189"/>
      <c r="AK61" s="130"/>
      <c r="AL61" s="161"/>
      <c r="AM61" s="161"/>
      <c r="AN61" s="161"/>
      <c r="AO61" s="161"/>
      <c r="AP61" s="161"/>
      <c r="AQ61" s="161"/>
      <c r="AR61" s="130"/>
      <c r="AS61" s="189"/>
      <c r="AT61" s="189"/>
      <c r="AU61" s="189"/>
      <c r="AV61" s="189"/>
      <c r="AW61" s="189"/>
      <c r="AX61" s="189"/>
      <c r="AY61" s="130"/>
      <c r="AZ61" s="130"/>
      <c r="BA61" s="130"/>
      <c r="BB61" s="130"/>
      <c r="BC61" s="130"/>
      <c r="BD61" s="294"/>
      <c r="BE61" s="294"/>
      <c r="BF61" s="294"/>
      <c r="BG61" s="294"/>
    </row>
    <row r="62" spans="8:59" x14ac:dyDescent="0.25">
      <c r="H62" s="293"/>
      <c r="I62" s="139"/>
      <c r="J62" s="187"/>
      <c r="K62" s="187"/>
      <c r="L62" s="187"/>
      <c r="M62" s="187"/>
      <c r="N62" s="187"/>
      <c r="O62" s="187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89"/>
      <c r="AF62" s="189"/>
      <c r="AG62" s="189"/>
      <c r="AH62" s="189"/>
      <c r="AI62" s="189"/>
      <c r="AJ62" s="189"/>
      <c r="AK62" s="130"/>
      <c r="AL62" s="161"/>
      <c r="AM62" s="161"/>
      <c r="AN62" s="161"/>
      <c r="AO62" s="161"/>
      <c r="AP62" s="161"/>
      <c r="AQ62" s="161"/>
      <c r="AR62" s="130"/>
      <c r="AS62" s="189"/>
      <c r="AT62" s="189"/>
      <c r="AU62" s="189"/>
      <c r="AV62" s="189"/>
      <c r="AW62" s="189"/>
      <c r="AX62" s="189"/>
      <c r="AY62" s="130"/>
      <c r="AZ62" s="130"/>
      <c r="BA62" s="130"/>
      <c r="BB62" s="130"/>
      <c r="BC62" s="130"/>
      <c r="BD62" s="294"/>
      <c r="BE62" s="294"/>
      <c r="BF62" s="294"/>
      <c r="BG62" s="294"/>
    </row>
    <row r="63" spans="8:59" x14ac:dyDescent="0.25">
      <c r="H63" s="293"/>
      <c r="I63" s="139"/>
      <c r="J63" s="187"/>
      <c r="K63" s="187"/>
      <c r="L63" s="187"/>
      <c r="M63" s="187"/>
      <c r="N63" s="187"/>
      <c r="O63" s="187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89"/>
      <c r="AF63" s="189"/>
      <c r="AG63" s="189"/>
      <c r="AH63" s="189"/>
      <c r="AI63" s="189"/>
      <c r="AJ63" s="189"/>
      <c r="AK63" s="130"/>
      <c r="AL63" s="161"/>
      <c r="AM63" s="161"/>
      <c r="AN63" s="161"/>
      <c r="AO63" s="161"/>
      <c r="AP63" s="161"/>
      <c r="AQ63" s="161"/>
      <c r="AR63" s="130"/>
      <c r="AS63" s="189"/>
      <c r="AT63" s="189"/>
      <c r="AU63" s="189"/>
      <c r="AV63" s="189"/>
      <c r="AW63" s="189"/>
      <c r="AX63" s="189"/>
      <c r="AY63" s="130"/>
      <c r="AZ63" s="130"/>
      <c r="BA63" s="130"/>
      <c r="BB63" s="130"/>
      <c r="BC63" s="130"/>
      <c r="BD63" s="294"/>
      <c r="BE63" s="294"/>
      <c r="BF63" s="294"/>
      <c r="BG63" s="294"/>
    </row>
    <row r="64" spans="8:59" x14ac:dyDescent="0.25">
      <c r="H64" s="293"/>
      <c r="I64" s="139"/>
      <c r="J64" s="187"/>
      <c r="K64" s="187"/>
      <c r="L64" s="187"/>
      <c r="M64" s="187"/>
      <c r="N64" s="187"/>
      <c r="O64" s="187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89"/>
      <c r="AF64" s="189"/>
      <c r="AG64" s="189"/>
      <c r="AH64" s="189"/>
      <c r="AI64" s="189"/>
      <c r="AJ64" s="189"/>
      <c r="AK64" s="130"/>
      <c r="AL64" s="161"/>
      <c r="AM64" s="161"/>
      <c r="AN64" s="161"/>
      <c r="AO64" s="161"/>
      <c r="AP64" s="161"/>
      <c r="AQ64" s="161"/>
      <c r="AR64" s="130"/>
      <c r="AS64" s="189"/>
      <c r="AT64" s="189"/>
      <c r="AU64" s="189"/>
      <c r="AV64" s="189"/>
      <c r="AW64" s="189"/>
      <c r="AX64" s="189"/>
      <c r="AY64" s="130"/>
      <c r="AZ64" s="130"/>
      <c r="BA64" s="130"/>
      <c r="BB64" s="130"/>
      <c r="BC64" s="130"/>
      <c r="BD64" s="294"/>
      <c r="BE64" s="294"/>
      <c r="BF64" s="294"/>
      <c r="BG64" s="294"/>
    </row>
    <row r="65" spans="8:59" x14ac:dyDescent="0.25">
      <c r="H65" s="293"/>
      <c r="I65" s="139"/>
      <c r="J65" s="187"/>
      <c r="K65" s="187"/>
      <c r="L65" s="187"/>
      <c r="M65" s="187"/>
      <c r="N65" s="187"/>
      <c r="O65" s="187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89"/>
      <c r="AF65" s="189"/>
      <c r="AG65" s="189"/>
      <c r="AH65" s="189"/>
      <c r="AI65" s="189"/>
      <c r="AJ65" s="189"/>
      <c r="AK65" s="130"/>
      <c r="AL65" s="161"/>
      <c r="AM65" s="161"/>
      <c r="AN65" s="161"/>
      <c r="AO65" s="161"/>
      <c r="AP65" s="161"/>
      <c r="AQ65" s="161"/>
      <c r="AR65" s="130"/>
      <c r="AS65" s="189"/>
      <c r="AT65" s="189"/>
      <c r="AU65" s="189"/>
      <c r="AV65" s="189"/>
      <c r="AW65" s="189"/>
      <c r="AX65" s="189"/>
      <c r="AY65" s="130"/>
      <c r="AZ65" s="130"/>
      <c r="BA65" s="130"/>
      <c r="BB65" s="130"/>
      <c r="BC65" s="130"/>
      <c r="BD65" s="294"/>
      <c r="BE65" s="294"/>
      <c r="BF65" s="294"/>
      <c r="BG65" s="294"/>
    </row>
    <row r="66" spans="8:59" x14ac:dyDescent="0.25">
      <c r="H66" s="293"/>
      <c r="I66" s="139"/>
      <c r="J66" s="187"/>
      <c r="K66" s="187"/>
      <c r="L66" s="187"/>
      <c r="M66" s="187"/>
      <c r="N66" s="187"/>
      <c r="O66" s="187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89"/>
      <c r="AF66" s="189"/>
      <c r="AG66" s="189"/>
      <c r="AH66" s="189"/>
      <c r="AI66" s="189"/>
      <c r="AJ66" s="189"/>
      <c r="AK66" s="130"/>
      <c r="AL66" s="161"/>
      <c r="AM66" s="161"/>
      <c r="AN66" s="161"/>
      <c r="AO66" s="161"/>
      <c r="AP66" s="161"/>
      <c r="AQ66" s="161"/>
      <c r="AR66" s="130"/>
      <c r="AS66" s="189"/>
      <c r="AT66" s="189"/>
      <c r="AU66" s="189"/>
      <c r="AV66" s="189"/>
      <c r="AW66" s="189"/>
      <c r="AX66" s="189"/>
      <c r="AY66" s="130"/>
      <c r="AZ66" s="130"/>
      <c r="BA66" s="130"/>
      <c r="BB66" s="130"/>
      <c r="BC66" s="130"/>
      <c r="BD66" s="294"/>
      <c r="BE66" s="294"/>
      <c r="BF66" s="294"/>
      <c r="BG66" s="294"/>
    </row>
    <row r="67" spans="8:59" x14ac:dyDescent="0.25">
      <c r="H67" s="293"/>
      <c r="I67" s="139"/>
      <c r="J67" s="187"/>
      <c r="K67" s="187"/>
      <c r="L67" s="187"/>
      <c r="M67" s="187"/>
      <c r="N67" s="187"/>
      <c r="O67" s="187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89"/>
      <c r="AF67" s="189"/>
      <c r="AG67" s="189"/>
      <c r="AH67" s="189"/>
      <c r="AI67" s="189"/>
      <c r="AJ67" s="189"/>
      <c r="AK67" s="130"/>
      <c r="AL67" s="161"/>
      <c r="AM67" s="161"/>
      <c r="AN67" s="161"/>
      <c r="AO67" s="161"/>
      <c r="AP67" s="161"/>
      <c r="AQ67" s="161"/>
      <c r="AR67" s="130"/>
      <c r="AS67" s="189"/>
      <c r="AT67" s="189"/>
      <c r="AU67" s="189"/>
      <c r="AV67" s="189"/>
      <c r="AW67" s="189"/>
      <c r="AX67" s="189"/>
      <c r="AY67" s="130"/>
      <c r="AZ67" s="130"/>
      <c r="BA67" s="130"/>
      <c r="BB67" s="130"/>
      <c r="BC67" s="130"/>
      <c r="BD67" s="294"/>
      <c r="BE67" s="294"/>
      <c r="BF67" s="294"/>
      <c r="BG67" s="294"/>
    </row>
    <row r="68" spans="8:59" x14ac:dyDescent="0.25">
      <c r="H68" s="293"/>
      <c r="I68" s="139"/>
      <c r="J68" s="187"/>
      <c r="K68" s="187"/>
      <c r="L68" s="187"/>
      <c r="M68" s="187"/>
      <c r="N68" s="187"/>
      <c r="O68" s="187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89"/>
      <c r="AF68" s="189"/>
      <c r="AG68" s="189"/>
      <c r="AH68" s="189"/>
      <c r="AI68" s="189"/>
      <c r="AJ68" s="189"/>
      <c r="AK68" s="130"/>
      <c r="AL68" s="161"/>
      <c r="AM68" s="161"/>
      <c r="AN68" s="161"/>
      <c r="AO68" s="161"/>
      <c r="AP68" s="161"/>
      <c r="AQ68" s="161"/>
      <c r="AR68" s="130"/>
      <c r="AS68" s="189"/>
      <c r="AT68" s="189"/>
      <c r="AU68" s="189"/>
      <c r="AV68" s="189"/>
      <c r="AW68" s="189"/>
      <c r="AX68" s="189"/>
      <c r="AY68" s="130"/>
      <c r="AZ68" s="130"/>
      <c r="BA68" s="130"/>
      <c r="BB68" s="130"/>
      <c r="BC68" s="130"/>
      <c r="BD68" s="294"/>
      <c r="BE68" s="294"/>
      <c r="BF68" s="294"/>
      <c r="BG68" s="294"/>
    </row>
    <row r="69" spans="8:59" x14ac:dyDescent="0.25">
      <c r="H69" s="293"/>
      <c r="I69" s="139"/>
      <c r="J69" s="187"/>
      <c r="K69" s="187"/>
      <c r="L69" s="187"/>
      <c r="M69" s="187"/>
      <c r="N69" s="187"/>
      <c r="O69" s="187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89"/>
      <c r="AF69" s="189"/>
      <c r="AG69" s="189"/>
      <c r="AH69" s="189"/>
      <c r="AI69" s="189"/>
      <c r="AJ69" s="189"/>
      <c r="AK69" s="130"/>
      <c r="AL69" s="161"/>
      <c r="AM69" s="161"/>
      <c r="AN69" s="161"/>
      <c r="AO69" s="161"/>
      <c r="AP69" s="161"/>
      <c r="AQ69" s="161"/>
      <c r="AR69" s="130"/>
      <c r="AS69" s="189"/>
      <c r="AT69" s="189"/>
      <c r="AU69" s="189"/>
      <c r="AV69" s="189"/>
      <c r="AW69" s="189"/>
      <c r="AX69" s="189"/>
      <c r="AY69" s="130"/>
      <c r="AZ69" s="130"/>
      <c r="BA69" s="130"/>
      <c r="BB69" s="130"/>
      <c r="BC69" s="130"/>
      <c r="BD69" s="294"/>
      <c r="BE69" s="294"/>
      <c r="BF69" s="294"/>
      <c r="BG69" s="294"/>
    </row>
    <row r="70" spans="8:59" x14ac:dyDescent="0.25">
      <c r="H70" s="293"/>
      <c r="I70" s="139"/>
      <c r="J70" s="187"/>
      <c r="K70" s="187"/>
      <c r="L70" s="187"/>
      <c r="M70" s="187"/>
      <c r="N70" s="187"/>
      <c r="O70" s="187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89"/>
      <c r="AF70" s="189"/>
      <c r="AG70" s="189"/>
      <c r="AH70" s="189"/>
      <c r="AI70" s="189"/>
      <c r="AJ70" s="189"/>
      <c r="AK70" s="130"/>
      <c r="AL70" s="161"/>
      <c r="AM70" s="161"/>
      <c r="AN70" s="161"/>
      <c r="AO70" s="161"/>
      <c r="AP70" s="161"/>
      <c r="AQ70" s="161"/>
      <c r="AR70" s="130"/>
      <c r="AS70" s="189"/>
      <c r="AT70" s="189"/>
      <c r="AU70" s="189"/>
      <c r="AV70" s="189"/>
      <c r="AW70" s="189"/>
      <c r="AX70" s="189"/>
      <c r="AY70" s="130"/>
      <c r="AZ70" s="130"/>
      <c r="BA70" s="130"/>
      <c r="BB70" s="130"/>
      <c r="BC70" s="130"/>
      <c r="BD70" s="294"/>
      <c r="BE70" s="294"/>
      <c r="BF70" s="294"/>
      <c r="BG70" s="294"/>
    </row>
    <row r="71" spans="8:59" x14ac:dyDescent="0.25">
      <c r="H71" s="293"/>
      <c r="I71" s="139"/>
      <c r="J71" s="187"/>
      <c r="K71" s="187"/>
      <c r="L71" s="187"/>
      <c r="M71" s="187"/>
      <c r="N71" s="187"/>
      <c r="O71" s="187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89"/>
      <c r="AF71" s="189"/>
      <c r="AG71" s="189"/>
      <c r="AH71" s="189"/>
      <c r="AI71" s="189"/>
      <c r="AJ71" s="189"/>
      <c r="AK71" s="130"/>
      <c r="AL71" s="161"/>
      <c r="AM71" s="161"/>
      <c r="AN71" s="161"/>
      <c r="AO71" s="161"/>
      <c r="AP71" s="161"/>
      <c r="AQ71" s="161"/>
      <c r="AR71" s="130"/>
      <c r="AS71" s="189"/>
      <c r="AT71" s="189"/>
      <c r="AU71" s="189"/>
      <c r="AV71" s="189"/>
      <c r="AW71" s="189"/>
      <c r="AX71" s="189"/>
      <c r="AY71" s="130"/>
      <c r="AZ71" s="130"/>
      <c r="BA71" s="130"/>
      <c r="BB71" s="130"/>
      <c r="BC71" s="130"/>
      <c r="BD71" s="294"/>
      <c r="BE71" s="294"/>
      <c r="BF71" s="294"/>
      <c r="BG71" s="294"/>
    </row>
    <row r="72" spans="8:59" x14ac:dyDescent="0.25">
      <c r="H72" s="293"/>
      <c r="I72" s="139"/>
      <c r="J72" s="187"/>
      <c r="K72" s="187"/>
      <c r="L72" s="187"/>
      <c r="M72" s="187"/>
      <c r="N72" s="187"/>
      <c r="O72" s="187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89"/>
      <c r="AF72" s="189"/>
      <c r="AG72" s="189"/>
      <c r="AH72" s="189"/>
      <c r="AI72" s="189"/>
      <c r="AJ72" s="189"/>
      <c r="AK72" s="130"/>
      <c r="AL72" s="161"/>
      <c r="AM72" s="161"/>
      <c r="AN72" s="161"/>
      <c r="AO72" s="161"/>
      <c r="AP72" s="161"/>
      <c r="AQ72" s="161"/>
      <c r="AR72" s="130"/>
      <c r="AS72" s="189"/>
      <c r="AT72" s="189"/>
      <c r="AU72" s="189"/>
      <c r="AV72" s="189"/>
      <c r="AW72" s="189"/>
      <c r="AX72" s="189"/>
      <c r="AY72" s="130"/>
      <c r="AZ72" s="130"/>
      <c r="BA72" s="130"/>
      <c r="BB72" s="130"/>
      <c r="BC72" s="130"/>
      <c r="BD72" s="294"/>
      <c r="BE72" s="294"/>
      <c r="BF72" s="294"/>
      <c r="BG72" s="294"/>
    </row>
    <row r="73" spans="8:59" x14ac:dyDescent="0.25">
      <c r="H73" s="293"/>
      <c r="I73" s="139"/>
      <c r="J73" s="187"/>
      <c r="K73" s="187"/>
      <c r="L73" s="187"/>
      <c r="M73" s="187"/>
      <c r="N73" s="187"/>
      <c r="O73" s="187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89"/>
      <c r="AF73" s="189"/>
      <c r="AG73" s="189"/>
      <c r="AH73" s="189"/>
      <c r="AI73" s="189"/>
      <c r="AJ73" s="189"/>
      <c r="AK73" s="130"/>
      <c r="AL73" s="161"/>
      <c r="AM73" s="161"/>
      <c r="AN73" s="161"/>
      <c r="AO73" s="161"/>
      <c r="AP73" s="161"/>
      <c r="AQ73" s="161"/>
      <c r="AR73" s="130"/>
      <c r="AS73" s="189"/>
      <c r="AT73" s="189"/>
      <c r="AU73" s="189"/>
      <c r="AV73" s="189"/>
      <c r="AW73" s="189"/>
      <c r="AX73" s="189"/>
      <c r="AY73" s="130"/>
      <c r="AZ73" s="130"/>
      <c r="BA73" s="130"/>
      <c r="BB73" s="130"/>
      <c r="BC73" s="130"/>
      <c r="BD73" s="294"/>
      <c r="BE73" s="294"/>
      <c r="BF73" s="294"/>
      <c r="BG73" s="294"/>
    </row>
    <row r="74" spans="8:59" x14ac:dyDescent="0.25">
      <c r="H74" s="293"/>
      <c r="I74" s="139"/>
      <c r="J74" s="187"/>
      <c r="K74" s="187"/>
      <c r="L74" s="187"/>
      <c r="M74" s="187"/>
      <c r="N74" s="187"/>
      <c r="O74" s="187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9"/>
      <c r="AD74" s="139"/>
      <c r="AE74" s="189"/>
      <c r="AF74" s="189"/>
      <c r="AG74" s="189"/>
      <c r="AH74" s="189"/>
      <c r="AI74" s="189"/>
      <c r="AJ74" s="189"/>
      <c r="AK74" s="139"/>
      <c r="AL74" s="161"/>
      <c r="AM74" s="161"/>
      <c r="AN74" s="161"/>
      <c r="AO74" s="161"/>
      <c r="AP74" s="161"/>
      <c r="AQ74" s="161"/>
      <c r="AR74" s="139"/>
      <c r="AS74" s="189"/>
      <c r="AT74" s="189"/>
      <c r="AU74" s="189"/>
      <c r="AV74" s="189"/>
      <c r="AW74" s="189"/>
      <c r="AX74" s="189"/>
      <c r="AY74" s="139"/>
      <c r="AZ74" s="139"/>
      <c r="BA74" s="139"/>
      <c r="BB74" s="139"/>
      <c r="BC74" s="139"/>
      <c r="BD74" s="294"/>
      <c r="BE74" s="294"/>
      <c r="BF74" s="294"/>
      <c r="BG74" s="294"/>
    </row>
  </sheetData>
  <mergeCells count="40">
    <mergeCell ref="H40:H42"/>
    <mergeCell ref="J40:N40"/>
    <mergeCell ref="AE40:AJ40"/>
    <mergeCell ref="AS40:AX40"/>
    <mergeCell ref="BD40:BG41"/>
    <mergeCell ref="J41:L41"/>
    <mergeCell ref="M41:O41"/>
    <mergeCell ref="AE41:AG41"/>
    <mergeCell ref="AH41:AJ41"/>
    <mergeCell ref="AS41:AU41"/>
    <mergeCell ref="AV41:AX41"/>
    <mergeCell ref="B6:C6"/>
    <mergeCell ref="D6:E6"/>
    <mergeCell ref="A13:F13"/>
    <mergeCell ref="D31:F31"/>
    <mergeCell ref="AL3:AQ3"/>
    <mergeCell ref="AL4:AN4"/>
    <mergeCell ref="AO4:AQ4"/>
    <mergeCell ref="X3:AC3"/>
    <mergeCell ref="X4:Z4"/>
    <mergeCell ref="AA4:AC4"/>
    <mergeCell ref="AE3:AJ3"/>
    <mergeCell ref="AE4:AG4"/>
    <mergeCell ref="AH4:AJ4"/>
    <mergeCell ref="J3:O3"/>
    <mergeCell ref="A22:F22"/>
    <mergeCell ref="J4:L4"/>
    <mergeCell ref="A1:BG1"/>
    <mergeCell ref="BI2:BJ2"/>
    <mergeCell ref="H3:H5"/>
    <mergeCell ref="Q3:V3"/>
    <mergeCell ref="Q4:S4"/>
    <mergeCell ref="T4:V4"/>
    <mergeCell ref="AZ3:BB4"/>
    <mergeCell ref="BD3:BG4"/>
    <mergeCell ref="M4:O4"/>
    <mergeCell ref="A3:F3"/>
    <mergeCell ref="AS3:AX3"/>
    <mergeCell ref="AS4:AU4"/>
    <mergeCell ref="AV4:AX4"/>
  </mergeCells>
  <hyperlinks>
    <hyperlink ref="D31" location="'DATOS DE EVALUACION'!A1" display="Regresar a la pagina principal."/>
    <hyperlink ref="BI2:BJ2" location="'DATOS DE EVALUACION'!A1" display="A la Página Principal.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5"/>
  <sheetViews>
    <sheetView topLeftCell="U7" zoomScale="80" zoomScaleNormal="80" workbookViewId="0">
      <selection activeCell="U40" sqref="A40:XFD58"/>
    </sheetView>
  </sheetViews>
  <sheetFormatPr baseColWidth="10" defaultColWidth="11.42578125" defaultRowHeight="15" x14ac:dyDescent="0.25"/>
  <cols>
    <col min="1" max="1" width="6.7109375" style="69" customWidth="1"/>
    <col min="2" max="5" width="11.42578125" style="69"/>
    <col min="6" max="6" width="6.7109375" style="69" customWidth="1"/>
    <col min="7" max="7" width="2.28515625" style="69" customWidth="1"/>
    <col min="8" max="8" width="7.140625" style="69" customWidth="1"/>
    <col min="9" max="9" width="2.28515625" style="69" customWidth="1"/>
    <col min="10" max="15" width="6.7109375" style="69" customWidth="1"/>
    <col min="16" max="16" width="2.28515625" style="69" customWidth="1"/>
    <col min="17" max="22" width="6.7109375" style="69" customWidth="1"/>
    <col min="23" max="23" width="2.28515625" style="69" customWidth="1"/>
    <col min="24" max="24" width="7.42578125" style="69" customWidth="1"/>
    <col min="25" max="26" width="8" style="69" customWidth="1"/>
    <col min="27" max="27" width="7.42578125" style="69" customWidth="1"/>
    <col min="28" max="29" width="7.85546875" style="69" customWidth="1"/>
    <col min="30" max="30" width="2.28515625" style="69" customWidth="1"/>
    <col min="31" max="36" width="6.7109375" style="69" customWidth="1"/>
    <col min="37" max="37" width="2.28515625" style="69" customWidth="1"/>
    <col min="38" max="43" width="6.7109375" style="69" customWidth="1"/>
    <col min="44" max="44" width="2.28515625" style="69" customWidth="1"/>
    <col min="45" max="50" width="6.7109375" style="69" customWidth="1"/>
    <col min="51" max="51" width="2.28515625" style="69" customWidth="1"/>
    <col min="52" max="54" width="17.140625" style="69" customWidth="1"/>
    <col min="55" max="55" width="2.28515625" style="69" customWidth="1"/>
    <col min="56" max="58" width="14.85546875" style="69" customWidth="1"/>
    <col min="59" max="59" width="12.28515625" style="69" bestFit="1" customWidth="1"/>
    <col min="60" max="16384" width="11.42578125" style="69"/>
  </cols>
  <sheetData>
    <row r="1" spans="1:62" ht="31.5" customHeight="1" x14ac:dyDescent="0.25">
      <c r="A1" s="357" t="s">
        <v>145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  <c r="AX1" s="357"/>
      <c r="AY1" s="357"/>
      <c r="AZ1" s="357"/>
      <c r="BA1" s="357"/>
      <c r="BB1" s="357"/>
      <c r="BC1" s="357"/>
      <c r="BD1" s="357"/>
      <c r="BE1" s="357"/>
      <c r="BF1" s="357"/>
      <c r="BG1" s="357"/>
    </row>
    <row r="2" spans="1:62" ht="12" customHeight="1" x14ac:dyDescent="0.25">
      <c r="BI2" s="386" t="s">
        <v>95</v>
      </c>
      <c r="BJ2" s="386"/>
    </row>
    <row r="3" spans="1:62" ht="12" customHeight="1" x14ac:dyDescent="0.25">
      <c r="A3" s="374" t="s">
        <v>25</v>
      </c>
      <c r="B3" s="375"/>
      <c r="C3" s="375"/>
      <c r="D3" s="375"/>
      <c r="E3" s="375"/>
      <c r="F3" s="376"/>
      <c r="H3" s="379" t="s">
        <v>59</v>
      </c>
      <c r="J3" s="381" t="s">
        <v>61</v>
      </c>
      <c r="K3" s="381"/>
      <c r="L3" s="381"/>
      <c r="M3" s="381"/>
      <c r="N3" s="381"/>
      <c r="O3" s="381"/>
      <c r="Q3" s="381" t="s">
        <v>62</v>
      </c>
      <c r="R3" s="381"/>
      <c r="S3" s="381"/>
      <c r="T3" s="381"/>
      <c r="U3" s="381"/>
      <c r="V3" s="381"/>
      <c r="X3" s="381" t="s">
        <v>63</v>
      </c>
      <c r="Y3" s="381"/>
      <c r="Z3" s="381"/>
      <c r="AA3" s="381"/>
      <c r="AB3" s="381"/>
      <c r="AC3" s="381"/>
      <c r="AE3" s="381" t="s">
        <v>64</v>
      </c>
      <c r="AF3" s="381"/>
      <c r="AG3" s="381"/>
      <c r="AH3" s="381"/>
      <c r="AI3" s="381"/>
      <c r="AJ3" s="381"/>
      <c r="AL3" s="381" t="s">
        <v>67</v>
      </c>
      <c r="AM3" s="381"/>
      <c r="AN3" s="381"/>
      <c r="AO3" s="381"/>
      <c r="AP3" s="381"/>
      <c r="AQ3" s="381"/>
      <c r="AS3" s="381" t="s">
        <v>72</v>
      </c>
      <c r="AT3" s="381"/>
      <c r="AU3" s="381"/>
      <c r="AV3" s="381"/>
      <c r="AW3" s="381"/>
      <c r="AX3" s="381"/>
      <c r="AZ3" s="382" t="s">
        <v>73</v>
      </c>
      <c r="BA3" s="382"/>
      <c r="BB3" s="382"/>
      <c r="BD3" s="382" t="s">
        <v>74</v>
      </c>
      <c r="BE3" s="382"/>
      <c r="BF3" s="382"/>
      <c r="BG3" s="382"/>
    </row>
    <row r="4" spans="1:62" ht="12" customHeight="1" x14ac:dyDescent="0.25">
      <c r="A4" s="43"/>
      <c r="B4" s="44"/>
      <c r="C4" s="38" t="s">
        <v>26</v>
      </c>
      <c r="D4" s="41">
        <f>'DATOS DE EVALUACION'!B16</f>
        <v>1.77233</v>
      </c>
      <c r="E4" s="34" t="s">
        <v>56</v>
      </c>
      <c r="F4" s="45"/>
      <c r="H4" s="379"/>
      <c r="J4" s="383" t="s">
        <v>151</v>
      </c>
      <c r="K4" s="383"/>
      <c r="L4" s="383"/>
      <c r="M4" s="387" t="s">
        <v>152</v>
      </c>
      <c r="N4" s="383"/>
      <c r="O4" s="383"/>
      <c r="Q4" s="383" t="s">
        <v>151</v>
      </c>
      <c r="R4" s="383"/>
      <c r="S4" s="383"/>
      <c r="T4" s="387" t="s">
        <v>152</v>
      </c>
      <c r="U4" s="383"/>
      <c r="V4" s="383"/>
      <c r="X4" s="383" t="s">
        <v>151</v>
      </c>
      <c r="Y4" s="383"/>
      <c r="Z4" s="383"/>
      <c r="AA4" s="387" t="s">
        <v>152</v>
      </c>
      <c r="AB4" s="383"/>
      <c r="AC4" s="383"/>
      <c r="AE4" s="383" t="s">
        <v>151</v>
      </c>
      <c r="AF4" s="383"/>
      <c r="AG4" s="383"/>
      <c r="AH4" s="387" t="s">
        <v>152</v>
      </c>
      <c r="AI4" s="383"/>
      <c r="AJ4" s="383"/>
      <c r="AL4" s="383" t="s">
        <v>151</v>
      </c>
      <c r="AM4" s="383"/>
      <c r="AN4" s="383"/>
      <c r="AO4" s="387" t="s">
        <v>152</v>
      </c>
      <c r="AP4" s="383"/>
      <c r="AQ4" s="383"/>
      <c r="AS4" s="383" t="s">
        <v>151</v>
      </c>
      <c r="AT4" s="383"/>
      <c r="AU4" s="383"/>
      <c r="AV4" s="387" t="s">
        <v>152</v>
      </c>
      <c r="AW4" s="383"/>
      <c r="AX4" s="383"/>
      <c r="AZ4" s="382"/>
      <c r="BA4" s="382"/>
      <c r="BB4" s="382"/>
      <c r="BD4" s="382"/>
      <c r="BE4" s="382"/>
      <c r="BF4" s="382"/>
      <c r="BG4" s="382"/>
    </row>
    <row r="5" spans="1:62" ht="12" customHeight="1" thickBot="1" x14ac:dyDescent="0.3">
      <c r="A5" s="46"/>
      <c r="B5" s="42"/>
      <c r="C5" s="36" t="s">
        <v>27</v>
      </c>
      <c r="D5" s="40">
        <f>'DATOS DE EVALUACION'!C16</f>
        <v>704</v>
      </c>
      <c r="E5" s="48" t="s">
        <v>55</v>
      </c>
      <c r="F5" s="47"/>
      <c r="H5" s="380"/>
      <c r="J5" s="195" t="s">
        <v>21</v>
      </c>
      <c r="K5" s="196" t="s">
        <v>60</v>
      </c>
      <c r="L5" s="197" t="s">
        <v>19</v>
      </c>
      <c r="M5" s="249" t="s">
        <v>21</v>
      </c>
      <c r="N5" s="196" t="s">
        <v>60</v>
      </c>
      <c r="O5" s="197" t="s">
        <v>19</v>
      </c>
      <c r="Q5" s="195" t="s">
        <v>21</v>
      </c>
      <c r="R5" s="196" t="s">
        <v>60</v>
      </c>
      <c r="S5" s="197" t="s">
        <v>19</v>
      </c>
      <c r="T5" s="249" t="s">
        <v>21</v>
      </c>
      <c r="U5" s="196" t="s">
        <v>60</v>
      </c>
      <c r="V5" s="197" t="s">
        <v>19</v>
      </c>
      <c r="X5" s="195" t="s">
        <v>21</v>
      </c>
      <c r="Y5" s="196" t="s">
        <v>60</v>
      </c>
      <c r="Z5" s="197" t="s">
        <v>19</v>
      </c>
      <c r="AA5" s="249" t="s">
        <v>21</v>
      </c>
      <c r="AB5" s="196" t="s">
        <v>60</v>
      </c>
      <c r="AC5" s="197" t="s">
        <v>19</v>
      </c>
      <c r="AE5" s="195" t="s">
        <v>21</v>
      </c>
      <c r="AF5" s="196" t="s">
        <v>60</v>
      </c>
      <c r="AG5" s="197" t="s">
        <v>19</v>
      </c>
      <c r="AH5" s="249" t="s">
        <v>21</v>
      </c>
      <c r="AI5" s="196" t="s">
        <v>60</v>
      </c>
      <c r="AJ5" s="197" t="s">
        <v>19</v>
      </c>
      <c r="AL5" s="195" t="s">
        <v>21</v>
      </c>
      <c r="AM5" s="196" t="s">
        <v>60</v>
      </c>
      <c r="AN5" s="197" t="s">
        <v>19</v>
      </c>
      <c r="AO5" s="249" t="s">
        <v>21</v>
      </c>
      <c r="AP5" s="196" t="s">
        <v>60</v>
      </c>
      <c r="AQ5" s="197" t="s">
        <v>19</v>
      </c>
      <c r="AS5" s="195" t="s">
        <v>21</v>
      </c>
      <c r="AT5" s="196" t="s">
        <v>60</v>
      </c>
      <c r="AU5" s="197" t="s">
        <v>19</v>
      </c>
      <c r="AV5" s="249" t="s">
        <v>21</v>
      </c>
      <c r="AW5" s="196" t="s">
        <v>60</v>
      </c>
      <c r="AX5" s="197" t="s">
        <v>19</v>
      </c>
      <c r="AZ5" s="198" t="s">
        <v>68</v>
      </c>
      <c r="BA5" s="199" t="s">
        <v>79</v>
      </c>
      <c r="BB5" s="200" t="s">
        <v>69</v>
      </c>
      <c r="BD5" s="201" t="s">
        <v>75</v>
      </c>
      <c r="BE5" s="202" t="s">
        <v>76</v>
      </c>
      <c r="BF5" s="202" t="s">
        <v>77</v>
      </c>
      <c r="BG5" s="201" t="s">
        <v>78</v>
      </c>
    </row>
    <row r="6" spans="1:62" s="33" customFormat="1" ht="12" customHeight="1" thickTop="1" x14ac:dyDescent="0.25">
      <c r="A6" s="168"/>
      <c r="B6" s="377" t="s">
        <v>138</v>
      </c>
      <c r="C6" s="377"/>
      <c r="D6" s="377" t="s">
        <v>137</v>
      </c>
      <c r="E6" s="377"/>
      <c r="F6" s="169"/>
      <c r="H6" s="238">
        <v>0</v>
      </c>
      <c r="I6" s="239"/>
      <c r="J6" s="321">
        <v>329.49700000000001</v>
      </c>
      <c r="K6" s="321">
        <v>1.4419999999999999</v>
      </c>
      <c r="L6" s="321">
        <v>14.42</v>
      </c>
      <c r="M6" s="231">
        <v>341.75400000000002</v>
      </c>
      <c r="N6" s="72">
        <v>1.4419999999999999</v>
      </c>
      <c r="O6" s="187">
        <v>15.861999999999998</v>
      </c>
      <c r="P6" s="239"/>
      <c r="Q6" s="351">
        <v>80</v>
      </c>
      <c r="R6" s="322">
        <v>70</v>
      </c>
      <c r="S6" s="323">
        <v>60</v>
      </c>
      <c r="T6" s="324">
        <v>80</v>
      </c>
      <c r="U6" s="322">
        <v>70</v>
      </c>
      <c r="V6" s="323">
        <v>60</v>
      </c>
      <c r="W6" s="239"/>
      <c r="X6" s="337">
        <v>11.82</v>
      </c>
      <c r="Y6" s="338">
        <v>26.98</v>
      </c>
      <c r="Z6" s="339">
        <v>22.28</v>
      </c>
      <c r="AA6" s="340">
        <v>11.82</v>
      </c>
      <c r="AB6" s="338">
        <v>26.98</v>
      </c>
      <c r="AC6" s="339">
        <v>22.28</v>
      </c>
      <c r="AD6" s="239"/>
      <c r="AE6" s="337">
        <f>X6*J6*$D$4/1000</f>
        <v>6.9026130808782007</v>
      </c>
      <c r="AF6" s="338">
        <f t="shared" ref="AF6:AJ21" si="0">Y6*K6*$D$4/1000</f>
        <v>6.8952782222799991E-2</v>
      </c>
      <c r="AG6" s="339">
        <f t="shared" si="0"/>
        <v>0.56940992880800001</v>
      </c>
      <c r="AH6" s="340">
        <f>AA6*M6*$D$4/1000</f>
        <v>7.1593842458124008</v>
      </c>
      <c r="AI6" s="338">
        <f>AB6*N6*$D$4/1000</f>
        <v>6.8952782222799991E-2</v>
      </c>
      <c r="AJ6" s="339">
        <f>AC6*O6*$D$4/1000</f>
        <v>0.62635092168880002</v>
      </c>
      <c r="AK6" s="239"/>
      <c r="AL6" s="330">
        <f>$D$4/Q6</f>
        <v>2.2154125E-2</v>
      </c>
      <c r="AM6" s="331">
        <f t="shared" ref="AM6:AQ21" si="1">$D$4/R6</f>
        <v>2.5318999999999998E-2</v>
      </c>
      <c r="AN6" s="332">
        <f t="shared" si="1"/>
        <v>2.9538833333333334E-2</v>
      </c>
      <c r="AO6" s="333">
        <f t="shared" si="1"/>
        <v>2.2154125E-2</v>
      </c>
      <c r="AP6" s="331">
        <f t="shared" si="1"/>
        <v>2.5318999999999998E-2</v>
      </c>
      <c r="AQ6" s="332">
        <f t="shared" si="1"/>
        <v>2.9538833333333334E-2</v>
      </c>
      <c r="AR6" s="239"/>
      <c r="AS6" s="330">
        <f>(AL6*J6*($D$14*$D$17))/1000</f>
        <v>0.73362163137506253</v>
      </c>
      <c r="AT6" s="330">
        <f>(AM6*K6*($D$14*$D$18))/1000</f>
        <v>4.2196430188499993E-2</v>
      </c>
      <c r="AU6" s="334">
        <f>(AN6*L6*($D$14*0))/1000</f>
        <v>0</v>
      </c>
      <c r="AV6" s="333">
        <f>(AO6*M6*($D$14*$D$17))/1000</f>
        <v>0.76091171394262502</v>
      </c>
      <c r="AW6" s="331">
        <f>(AP6*N6*($D$14*$D$18))/1000</f>
        <v>4.2196430188499993E-2</v>
      </c>
      <c r="AX6" s="335">
        <f>(AQ6*O6*($D$14*0))/1000</f>
        <v>0</v>
      </c>
      <c r="AY6" s="239"/>
      <c r="AZ6" s="330"/>
      <c r="BA6" s="336"/>
      <c r="BB6" s="335"/>
      <c r="BC6" s="239"/>
      <c r="BD6" s="172">
        <f>(AE6+AF6+AG6+AH6+AI6+AJ6)*365</f>
        <v>5619.4172656960454</v>
      </c>
      <c r="BE6" s="173">
        <f>(AS6+AT6+AU6+AV6+AW6+AX6)*365</f>
        <v>576.30806507856096</v>
      </c>
      <c r="BF6" s="173">
        <f t="shared" ref="BF6:BF21" si="2">AZ6+BA6+BB6</f>
        <v>0</v>
      </c>
      <c r="BG6" s="172">
        <f>SUM(BD6:BF6)</f>
        <v>6195.7253307746068</v>
      </c>
    </row>
    <row r="7" spans="1:62" ht="12" customHeight="1" x14ac:dyDescent="0.25">
      <c r="A7" s="46"/>
      <c r="B7" s="57" t="s">
        <v>28</v>
      </c>
      <c r="C7" s="56">
        <f>'DATOS DE EVALUACION'!E16</f>
        <v>0.95409999999999995</v>
      </c>
      <c r="D7" s="57" t="s">
        <v>28</v>
      </c>
      <c r="E7" s="56">
        <f>'DATOS DE EVALUACION'!H16</f>
        <v>0.95179999999999998</v>
      </c>
      <c r="F7" s="47"/>
      <c r="H7" s="243">
        <v>1</v>
      </c>
      <c r="I7" s="233"/>
      <c r="J7" s="321">
        <v>339.38191</v>
      </c>
      <c r="K7" s="325">
        <v>1.4852599999999998</v>
      </c>
      <c r="L7" s="321">
        <v>14.852600000000001</v>
      </c>
      <c r="M7" s="231">
        <v>352.00662</v>
      </c>
      <c r="N7" s="72">
        <v>1.4852599999999998</v>
      </c>
      <c r="O7" s="187">
        <v>16.337859999999999</v>
      </c>
      <c r="P7" s="233"/>
      <c r="Q7" s="326">
        <v>77.669902912621353</v>
      </c>
      <c r="R7" s="326">
        <v>67.961165048543691</v>
      </c>
      <c r="S7" s="327">
        <v>58.252427184466015</v>
      </c>
      <c r="T7" s="328">
        <v>77.669902912621367</v>
      </c>
      <c r="U7" s="326">
        <v>67.961165048543691</v>
      </c>
      <c r="V7" s="327">
        <v>58.252427184466015</v>
      </c>
      <c r="W7" s="329"/>
      <c r="X7" s="341">
        <v>11.9</v>
      </c>
      <c r="Y7" s="342">
        <v>27.07</v>
      </c>
      <c r="Z7" s="343">
        <v>22.33</v>
      </c>
      <c r="AA7" s="344">
        <v>11.9</v>
      </c>
      <c r="AB7" s="342">
        <v>27.07</v>
      </c>
      <c r="AC7" s="345">
        <v>22.33</v>
      </c>
      <c r="AD7" s="233"/>
      <c r="AE7" s="346">
        <f t="shared" ref="AE7:AE21" si="3">X7*J7*$D$4/1000</f>
        <v>7.1578112125485704</v>
      </c>
      <c r="AF7" s="347">
        <f>Y7*K7*$D$4/1000</f>
        <v>7.1258279066505989E-2</v>
      </c>
      <c r="AG7" s="348">
        <f t="shared" si="0"/>
        <v>0.5878084121001399</v>
      </c>
      <c r="AH7" s="349">
        <f t="shared" si="0"/>
        <v>7.4240755246127401</v>
      </c>
      <c r="AI7" s="347">
        <f t="shared" si="0"/>
        <v>7.1258279066505989E-2</v>
      </c>
      <c r="AJ7" s="350">
        <f t="shared" si="0"/>
        <v>0.64658925331015393</v>
      </c>
      <c r="AK7" s="233"/>
      <c r="AL7" s="86">
        <f t="shared" ref="AL7:AL21" si="4">$D$4/Q7</f>
        <v>2.2818748750000003E-2</v>
      </c>
      <c r="AM7" s="87">
        <f t="shared" si="1"/>
        <v>2.6078569999999999E-2</v>
      </c>
      <c r="AN7" s="95">
        <f t="shared" si="1"/>
        <v>3.0424998333333335E-2</v>
      </c>
      <c r="AO7" s="232">
        <f t="shared" si="1"/>
        <v>2.2818748749999996E-2</v>
      </c>
      <c r="AP7" s="87">
        <f t="shared" si="1"/>
        <v>2.6078569999999999E-2</v>
      </c>
      <c r="AQ7" s="189">
        <f t="shared" si="1"/>
        <v>3.0424998333333335E-2</v>
      </c>
      <c r="AR7" s="233"/>
      <c r="AS7" s="86">
        <f t="shared" ref="AS7:AS20" si="5">(AL7*J7*($D$14*$D$17))/1000</f>
        <v>0.77829918872580395</v>
      </c>
      <c r="AT7" s="87">
        <f t="shared" ref="AT7:AT21" si="6">(AM7*K7*($D$14*$D$18))/1000</f>
        <v>4.4766192786979637E-2</v>
      </c>
      <c r="AU7" s="83">
        <f t="shared" ref="AU7:AU21" si="7">(AN7*L7*($D$14*0))/1000</f>
        <v>0</v>
      </c>
      <c r="AV7" s="232">
        <f t="shared" ref="AV7:AV21" si="8">(AO7*M7*($D$14*$D$17))/1000</f>
        <v>0.80725123732173076</v>
      </c>
      <c r="AW7" s="87">
        <f t="shared" ref="AW7:AW20" si="9">(AP7*N7*($D$14*$D$18))/1000</f>
        <v>4.4766192786979637E-2</v>
      </c>
      <c r="AX7" s="187">
        <f t="shared" ref="AX7:AX21" si="10">(AQ7*O7*($D$14*0))/1000</f>
        <v>0</v>
      </c>
      <c r="AY7" s="233"/>
      <c r="AZ7" s="86">
        <f>($D$23*$D$4*$D$27)/1000</f>
        <v>387.083480259</v>
      </c>
      <c r="BA7" s="72"/>
      <c r="BB7" s="83"/>
      <c r="BC7" s="233"/>
      <c r="BD7" s="70">
        <f>(AE7+AF7+AG7+AH7+AI7+AJ7)*365</f>
        <v>5824.9623506571843</v>
      </c>
      <c r="BE7" s="94">
        <f t="shared" ref="BE7:BE21" si="11">(AS7+AT7+AU7+AV7+AW7+AX7)*365</f>
        <v>611.4052262418453</v>
      </c>
      <c r="BF7" s="173">
        <f t="shared" si="2"/>
        <v>387.083480259</v>
      </c>
      <c r="BG7" s="70">
        <f>SUM(BD7:BF7)</f>
        <v>6823.4510571580295</v>
      </c>
    </row>
    <row r="8" spans="1:62" ht="12" customHeight="1" x14ac:dyDescent="0.25">
      <c r="A8" s="46"/>
      <c r="B8" s="57" t="s">
        <v>29</v>
      </c>
      <c r="C8" s="56">
        <f>'DATOS DE EVALUACION'!F16</f>
        <v>4.1999999999999997E-3</v>
      </c>
      <c r="D8" s="57" t="s">
        <v>29</v>
      </c>
      <c r="E8" s="56">
        <f>'DATOS DE EVALUACION'!I16</f>
        <v>4.0000000000000001E-3</v>
      </c>
      <c r="F8" s="47"/>
      <c r="H8" s="243">
        <v>2</v>
      </c>
      <c r="I8" s="233"/>
      <c r="J8" s="321">
        <v>349.56336730000004</v>
      </c>
      <c r="K8" s="325">
        <v>1.5298178</v>
      </c>
      <c r="L8" s="321">
        <v>15.298178000000002</v>
      </c>
      <c r="M8" s="231">
        <v>362.56681860000003</v>
      </c>
      <c r="N8" s="72">
        <v>1.5298178</v>
      </c>
      <c r="O8" s="187">
        <v>16.8279958</v>
      </c>
      <c r="P8" s="233"/>
      <c r="Q8" s="326">
        <v>75.407672730700341</v>
      </c>
      <c r="R8" s="326">
        <v>65.981713639362809</v>
      </c>
      <c r="S8" s="327">
        <v>56.555754548025263</v>
      </c>
      <c r="T8" s="328">
        <v>75.407672730700341</v>
      </c>
      <c r="U8" s="326">
        <v>65.981713639362795</v>
      </c>
      <c r="V8" s="327">
        <v>56.555754548025256</v>
      </c>
      <c r="W8" s="329"/>
      <c r="X8" s="341">
        <v>12.03</v>
      </c>
      <c r="Y8" s="342">
        <v>27.16</v>
      </c>
      <c r="Z8" s="343">
        <v>22.41</v>
      </c>
      <c r="AA8" s="344">
        <v>12.03</v>
      </c>
      <c r="AB8" s="342">
        <v>27.16</v>
      </c>
      <c r="AC8" s="345">
        <v>22.41</v>
      </c>
      <c r="AD8" s="233"/>
      <c r="AE8" s="346">
        <f t="shared" si="3"/>
        <v>7.453085962484713</v>
      </c>
      <c r="AF8" s="347">
        <f t="shared" si="0"/>
        <v>7.3640048216833828E-2</v>
      </c>
      <c r="AG8" s="348">
        <f t="shared" si="0"/>
        <v>0.60761173804832347</v>
      </c>
      <c r="AH8" s="349">
        <f t="shared" si="0"/>
        <v>7.7303342368003358</v>
      </c>
      <c r="AI8" s="347">
        <f t="shared" si="0"/>
        <v>7.3640048216833828E-2</v>
      </c>
      <c r="AJ8" s="350">
        <f t="shared" si="0"/>
        <v>0.66837291185315562</v>
      </c>
      <c r="AK8" s="233"/>
      <c r="AL8" s="86">
        <f t="shared" si="4"/>
        <v>2.3503311212500003E-2</v>
      </c>
      <c r="AM8" s="87">
        <f t="shared" si="1"/>
        <v>2.6860927099999998E-2</v>
      </c>
      <c r="AN8" s="95">
        <f t="shared" si="1"/>
        <v>3.1337748283333335E-2</v>
      </c>
      <c r="AO8" s="232">
        <f t="shared" si="1"/>
        <v>2.3503311212500003E-2</v>
      </c>
      <c r="AP8" s="87">
        <f t="shared" si="1"/>
        <v>2.6860927100000005E-2</v>
      </c>
      <c r="AQ8" s="189">
        <f t="shared" si="1"/>
        <v>3.1337748283333335E-2</v>
      </c>
      <c r="AR8" s="233"/>
      <c r="AS8" s="86">
        <f t="shared" si="5"/>
        <v>0.82569760931920555</v>
      </c>
      <c r="AT8" s="87">
        <f t="shared" si="6"/>
        <v>4.7492453927706707E-2</v>
      </c>
      <c r="AU8" s="83">
        <f t="shared" si="7"/>
        <v>0</v>
      </c>
      <c r="AV8" s="232">
        <f t="shared" si="8"/>
        <v>0.85641283767462451</v>
      </c>
      <c r="AW8" s="87">
        <f t="shared" si="9"/>
        <v>4.7492453927706721E-2</v>
      </c>
      <c r="AX8" s="187">
        <f t="shared" si="10"/>
        <v>0</v>
      </c>
      <c r="AY8" s="233"/>
      <c r="AZ8" s="86">
        <f t="shared" ref="AZ8:AZ10" si="12">($D$23*$D$4*$D$27)/1000</f>
        <v>387.083480259</v>
      </c>
      <c r="BA8" s="72"/>
      <c r="BB8" s="83"/>
      <c r="BC8" s="233"/>
      <c r="BD8" s="70">
        <f t="shared" ref="BD8:BD19" si="13">(AE8+AF8+AG8+AH8+AI8+AJ8)*365</f>
        <v>6061.4400051513712</v>
      </c>
      <c r="BE8" s="94">
        <f t="shared" si="11"/>
        <v>648.63980451997384</v>
      </c>
      <c r="BF8" s="173">
        <f t="shared" si="2"/>
        <v>387.083480259</v>
      </c>
      <c r="BG8" s="70">
        <f t="shared" ref="BG8:BG21" si="14">SUM(BD8:BF8)</f>
        <v>7097.1632899303449</v>
      </c>
    </row>
    <row r="9" spans="1:62" ht="12" customHeight="1" x14ac:dyDescent="0.25">
      <c r="A9" s="46"/>
      <c r="B9" s="57" t="s">
        <v>30</v>
      </c>
      <c r="C9" s="56">
        <f>'DATOS DE EVALUACION'!G16</f>
        <v>4.1799999999999997E-2</v>
      </c>
      <c r="D9" s="57" t="s">
        <v>30</v>
      </c>
      <c r="E9" s="56">
        <f>'DATOS DE EVALUACION'!J16</f>
        <v>4.4200000000000003E-2</v>
      </c>
      <c r="F9" s="47"/>
      <c r="H9" s="243">
        <v>3</v>
      </c>
      <c r="I9" s="233"/>
      <c r="J9" s="321">
        <v>360.050268319</v>
      </c>
      <c r="K9" s="325">
        <v>1.5757123340000001</v>
      </c>
      <c r="L9" s="321">
        <v>15.757123340000001</v>
      </c>
      <c r="M9" s="231">
        <v>373.44382315800004</v>
      </c>
      <c r="N9" s="72">
        <v>1.5757123340000001</v>
      </c>
      <c r="O9" s="187">
        <v>17.332835673999998</v>
      </c>
      <c r="P9" s="233"/>
      <c r="Q9" s="326">
        <v>73.211332748252758</v>
      </c>
      <c r="R9" s="326">
        <v>64.059916154721165</v>
      </c>
      <c r="S9" s="327">
        <v>54.908499561189579</v>
      </c>
      <c r="T9" s="328">
        <v>73.211332748252772</v>
      </c>
      <c r="U9" s="326">
        <v>64.059916154721165</v>
      </c>
      <c r="V9" s="327">
        <v>54.908499561189572</v>
      </c>
      <c r="W9" s="233"/>
      <c r="X9" s="346">
        <v>12.13</v>
      </c>
      <c r="Y9" s="347">
        <v>27.27</v>
      </c>
      <c r="Z9" s="348">
        <v>22.5</v>
      </c>
      <c r="AA9" s="349">
        <v>12.13</v>
      </c>
      <c r="AB9" s="347">
        <v>27.27</v>
      </c>
      <c r="AC9" s="350">
        <v>22.5</v>
      </c>
      <c r="AD9" s="233"/>
      <c r="AE9" s="346">
        <f t="shared" si="3"/>
        <v>7.740491330564236</v>
      </c>
      <c r="AF9" s="347">
        <f t="shared" si="0"/>
        <v>7.6156444709839857E-2</v>
      </c>
      <c r="AG9" s="348">
        <f t="shared" si="0"/>
        <v>0.62835350420659952</v>
      </c>
      <c r="AH9" s="349">
        <f t="shared" si="0"/>
        <v>8.0284308330141094</v>
      </c>
      <c r="AI9" s="347">
        <f t="shared" si="0"/>
        <v>7.6156444709839857E-2</v>
      </c>
      <c r="AJ9" s="350">
        <f t="shared" si="0"/>
        <v>0.69118885462725943</v>
      </c>
      <c r="AK9" s="233"/>
      <c r="AL9" s="86">
        <f t="shared" si="4"/>
        <v>2.4208410548875001E-2</v>
      </c>
      <c r="AM9" s="87">
        <f t="shared" si="1"/>
        <v>2.7666754913E-2</v>
      </c>
      <c r="AN9" s="95">
        <f t="shared" si="1"/>
        <v>3.2277880731833332E-2</v>
      </c>
      <c r="AO9" s="232">
        <f t="shared" si="1"/>
        <v>2.4208410548874997E-2</v>
      </c>
      <c r="AP9" s="87">
        <f t="shared" si="1"/>
        <v>2.7666754913E-2</v>
      </c>
      <c r="AQ9" s="189">
        <f t="shared" si="1"/>
        <v>3.2277880731833332E-2</v>
      </c>
      <c r="AR9" s="233"/>
      <c r="AS9" s="86">
        <f t="shared" si="5"/>
        <v>0.87598259372674492</v>
      </c>
      <c r="AT9" s="87">
        <f t="shared" si="6"/>
        <v>5.0384744371904058E-2</v>
      </c>
      <c r="AU9" s="83">
        <f t="shared" si="7"/>
        <v>0</v>
      </c>
      <c r="AV9" s="232">
        <f t="shared" si="8"/>
        <v>0.90856837948900881</v>
      </c>
      <c r="AW9" s="87">
        <f t="shared" si="9"/>
        <v>5.0384744371904058E-2</v>
      </c>
      <c r="AX9" s="187">
        <f t="shared" si="10"/>
        <v>0</v>
      </c>
      <c r="AY9" s="233"/>
      <c r="AZ9" s="86">
        <f t="shared" si="12"/>
        <v>387.083480259</v>
      </c>
      <c r="BA9" s="72"/>
      <c r="BB9" s="83"/>
      <c r="BC9" s="233"/>
      <c r="BD9" s="70">
        <f t="shared" si="13"/>
        <v>6292.8837553186386</v>
      </c>
      <c r="BE9" s="94">
        <f t="shared" si="11"/>
        <v>688.1419686152401</v>
      </c>
      <c r="BF9" s="173">
        <f t="shared" si="2"/>
        <v>387.083480259</v>
      </c>
      <c r="BG9" s="70">
        <f t="shared" si="14"/>
        <v>7368.1092041928787</v>
      </c>
    </row>
    <row r="10" spans="1:62" ht="12" customHeight="1" x14ac:dyDescent="0.25">
      <c r="A10" s="46"/>
      <c r="B10" s="42"/>
      <c r="C10" s="36" t="s">
        <v>2</v>
      </c>
      <c r="D10" s="53" t="str">
        <f>'DATOS DE EVALUACION'!D16</f>
        <v>P</v>
      </c>
      <c r="E10" s="48" t="s">
        <v>31</v>
      </c>
      <c r="F10" s="47"/>
      <c r="H10" s="243">
        <v>4</v>
      </c>
      <c r="I10" s="233"/>
      <c r="J10" s="321">
        <v>370.85177636856997</v>
      </c>
      <c r="K10" s="325">
        <v>1.6229837040199999</v>
      </c>
      <c r="L10" s="321">
        <v>16.229837040200003</v>
      </c>
      <c r="M10" s="231">
        <v>384.64713785274</v>
      </c>
      <c r="N10" s="72">
        <v>1.6229837040199999</v>
      </c>
      <c r="O10" s="187">
        <v>17.852820744219997</v>
      </c>
      <c r="P10" s="233"/>
      <c r="Q10" s="326">
        <v>71.078963833255116</v>
      </c>
      <c r="R10" s="326">
        <v>62.194093354098229</v>
      </c>
      <c r="S10" s="327">
        <v>53.309222874941341</v>
      </c>
      <c r="T10" s="328">
        <v>71.078963833255116</v>
      </c>
      <c r="U10" s="326">
        <v>62.194093354098221</v>
      </c>
      <c r="V10" s="327">
        <v>53.309222874941334</v>
      </c>
      <c r="W10" s="233"/>
      <c r="X10" s="346">
        <v>12.24</v>
      </c>
      <c r="Y10" s="347">
        <v>27.39</v>
      </c>
      <c r="Z10" s="348">
        <v>22.64</v>
      </c>
      <c r="AA10" s="349">
        <v>12.24</v>
      </c>
      <c r="AB10" s="347">
        <v>27.39</v>
      </c>
      <c r="AC10" s="350">
        <v>22.64</v>
      </c>
      <c r="AD10" s="233"/>
      <c r="AE10" s="346">
        <f t="shared" si="3"/>
        <v>8.0450059606504052</v>
      </c>
      <c r="AF10" s="347">
        <f t="shared" si="0"/>
        <v>7.8786313576112543E-2</v>
      </c>
      <c r="AG10" s="348">
        <f t="shared" si="0"/>
        <v>0.65123115712420165</v>
      </c>
      <c r="AH10" s="349">
        <f t="shared" si="0"/>
        <v>8.3442731408058926</v>
      </c>
      <c r="AI10" s="347">
        <f t="shared" si="0"/>
        <v>7.8786313576112543E-2</v>
      </c>
      <c r="AJ10" s="350">
        <f t="shared" si="0"/>
        <v>0.71635427283662156</v>
      </c>
      <c r="AK10" s="233"/>
      <c r="AL10" s="86">
        <f t="shared" si="4"/>
        <v>2.4934662865341246E-2</v>
      </c>
      <c r="AM10" s="87">
        <f t="shared" si="1"/>
        <v>2.8496757560389996E-2</v>
      </c>
      <c r="AN10" s="95">
        <f t="shared" si="1"/>
        <v>3.3246217153788331E-2</v>
      </c>
      <c r="AO10" s="232">
        <f t="shared" si="1"/>
        <v>2.4934662865341246E-2</v>
      </c>
      <c r="AP10" s="87">
        <f t="shared" si="1"/>
        <v>2.8496757560389999E-2</v>
      </c>
      <c r="AQ10" s="189">
        <f t="shared" si="1"/>
        <v>3.3246217153788331E-2</v>
      </c>
      <c r="AR10" s="233"/>
      <c r="AS10" s="86">
        <f t="shared" si="5"/>
        <v>0.9293299336847034</v>
      </c>
      <c r="AT10" s="87">
        <f t="shared" si="6"/>
        <v>5.3453175304152993E-2</v>
      </c>
      <c r="AU10" s="83">
        <f t="shared" si="7"/>
        <v>0</v>
      </c>
      <c r="AV10" s="232">
        <f t="shared" si="8"/>
        <v>0.96390019379988945</v>
      </c>
      <c r="AW10" s="87">
        <f t="shared" si="9"/>
        <v>5.3453175304153E-2</v>
      </c>
      <c r="AX10" s="187">
        <f t="shared" si="10"/>
        <v>0</v>
      </c>
      <c r="AY10" s="233"/>
      <c r="AZ10" s="86">
        <f t="shared" si="12"/>
        <v>387.083480259</v>
      </c>
      <c r="BA10" s="72"/>
      <c r="BB10" s="233"/>
      <c r="BC10" s="233"/>
      <c r="BD10" s="70">
        <f t="shared" si="13"/>
        <v>6538.769562877811</v>
      </c>
      <c r="BE10" s="94">
        <f t="shared" si="11"/>
        <v>730.04981450390812</v>
      </c>
      <c r="BF10" s="173">
        <f t="shared" si="2"/>
        <v>387.083480259</v>
      </c>
      <c r="BG10" s="70">
        <f t="shared" si="14"/>
        <v>7655.902857640719</v>
      </c>
    </row>
    <row r="11" spans="1:62" ht="12" customHeight="1" x14ac:dyDescent="0.25">
      <c r="A11" s="46"/>
      <c r="B11" s="35"/>
      <c r="C11" s="36" t="s">
        <v>32</v>
      </c>
      <c r="D11" s="58">
        <f>'DATOS DE EVALUACION'!K16</f>
        <v>0.03</v>
      </c>
      <c r="E11" s="42"/>
      <c r="F11" s="54"/>
      <c r="H11" s="243">
        <v>5</v>
      </c>
      <c r="I11" s="233"/>
      <c r="J11" s="321">
        <v>381.97732965962712</v>
      </c>
      <c r="K11" s="325">
        <v>1.6716732151406002</v>
      </c>
      <c r="L11" s="321">
        <v>16.716732151406003</v>
      </c>
      <c r="M11" s="231">
        <v>396.18655198832221</v>
      </c>
      <c r="N11" s="72">
        <v>1.6716732151406002</v>
      </c>
      <c r="O11" s="187">
        <v>18.3884053665466</v>
      </c>
      <c r="P11" s="233"/>
      <c r="Q11" s="326">
        <v>69.008702750733107</v>
      </c>
      <c r="R11" s="326">
        <v>60.382614906891476</v>
      </c>
      <c r="S11" s="327">
        <v>51.756527063049845</v>
      </c>
      <c r="T11" s="328">
        <v>69.008702750733121</v>
      </c>
      <c r="U11" s="326">
        <v>60.382614906891483</v>
      </c>
      <c r="V11" s="327">
        <v>51.756527063049845</v>
      </c>
      <c r="W11" s="233"/>
      <c r="X11" s="346">
        <v>12.35</v>
      </c>
      <c r="Y11" s="347">
        <v>27.51</v>
      </c>
      <c r="Z11" s="348">
        <v>22.69</v>
      </c>
      <c r="AA11" s="349">
        <v>12.35</v>
      </c>
      <c r="AB11" s="347">
        <v>27.51</v>
      </c>
      <c r="AC11" s="350">
        <v>22.69</v>
      </c>
      <c r="AD11" s="233"/>
      <c r="AE11" s="346">
        <f t="shared" si="3"/>
        <v>8.3608250263442407</v>
      </c>
      <c r="AF11" s="347">
        <f t="shared" si="0"/>
        <v>8.1505433774122754E-2</v>
      </c>
      <c r="AG11" s="348">
        <f t="shared" si="0"/>
        <v>0.67224947013262271</v>
      </c>
      <c r="AH11" s="349">
        <f t="shared" si="0"/>
        <v>8.6718403993154674</v>
      </c>
      <c r="AI11" s="347">
        <f t="shared" si="0"/>
        <v>8.1505433774122754E-2</v>
      </c>
      <c r="AJ11" s="350">
        <f t="shared" si="0"/>
        <v>0.73947441714588491</v>
      </c>
      <c r="AK11" s="233"/>
      <c r="AL11" s="86">
        <f t="shared" si="4"/>
        <v>2.5682702751301491E-2</v>
      </c>
      <c r="AM11" s="87">
        <f t="shared" si="1"/>
        <v>2.9351660287201702E-2</v>
      </c>
      <c r="AN11" s="95">
        <f t="shared" si="1"/>
        <v>3.4243603668401977E-2</v>
      </c>
      <c r="AO11" s="232">
        <f t="shared" si="1"/>
        <v>2.5682702751301485E-2</v>
      </c>
      <c r="AP11" s="87">
        <f t="shared" si="1"/>
        <v>2.9351660287201698E-2</v>
      </c>
      <c r="AQ11" s="189">
        <f t="shared" si="1"/>
        <v>3.4243603668401977E-2</v>
      </c>
      <c r="AR11" s="233"/>
      <c r="AS11" s="86">
        <f t="shared" si="5"/>
        <v>0.98592612664610213</v>
      </c>
      <c r="AT11" s="87">
        <f t="shared" si="6"/>
        <v>5.6708473680175932E-2</v>
      </c>
      <c r="AU11" s="83">
        <f t="shared" si="7"/>
        <v>0</v>
      </c>
      <c r="AV11" s="232">
        <f t="shared" si="8"/>
        <v>1.0226017156023026</v>
      </c>
      <c r="AW11" s="87">
        <f t="shared" si="9"/>
        <v>5.6708473680175925E-2</v>
      </c>
      <c r="AX11" s="187">
        <f t="shared" si="10"/>
        <v>0</v>
      </c>
      <c r="AY11" s="233"/>
      <c r="AZ11" s="86"/>
      <c r="BA11" s="87">
        <f>($D$24*$D$4*$D$27)/1000</f>
        <v>1632.9519128971999</v>
      </c>
      <c r="BB11" s="83"/>
      <c r="BC11" s="233"/>
      <c r="BD11" s="70">
        <f t="shared" si="13"/>
        <v>6791.701065877558</v>
      </c>
      <c r="BE11" s="94">
        <f t="shared" si="11"/>
        <v>774.50984820719623</v>
      </c>
      <c r="BF11" s="173">
        <f t="shared" si="2"/>
        <v>1632.9519128971999</v>
      </c>
      <c r="BG11" s="70">
        <f t="shared" si="14"/>
        <v>9199.1628269819539</v>
      </c>
    </row>
    <row r="12" spans="1:62" ht="12" customHeight="1" x14ac:dyDescent="0.25">
      <c r="A12" s="49"/>
      <c r="B12" s="39"/>
      <c r="C12" s="37" t="s">
        <v>33</v>
      </c>
      <c r="D12" s="55">
        <v>3</v>
      </c>
      <c r="E12" s="50"/>
      <c r="F12" s="51"/>
      <c r="H12" s="243">
        <v>6</v>
      </c>
      <c r="I12" s="233"/>
      <c r="J12" s="321">
        <v>393.4366495494159</v>
      </c>
      <c r="K12" s="325">
        <v>1.7218234115948181</v>
      </c>
      <c r="L12" s="321">
        <v>17.218234115948185</v>
      </c>
      <c r="M12" s="231">
        <v>408.07214854797189</v>
      </c>
      <c r="N12" s="72">
        <v>1.7218234115948181</v>
      </c>
      <c r="O12" s="187">
        <v>18.940057527542997</v>
      </c>
      <c r="P12" s="233"/>
      <c r="Q12" s="326">
        <v>66.998740534692345</v>
      </c>
      <c r="R12" s="326">
        <v>58.623897967855804</v>
      </c>
      <c r="S12" s="327">
        <v>50.249055401019262</v>
      </c>
      <c r="T12" s="328">
        <v>66.998740534692345</v>
      </c>
      <c r="U12" s="326">
        <v>58.623897967855804</v>
      </c>
      <c r="V12" s="327">
        <v>50.249055401019262</v>
      </c>
      <c r="W12" s="233"/>
      <c r="X12" s="346">
        <v>12.47</v>
      </c>
      <c r="Y12" s="347">
        <v>27.58</v>
      </c>
      <c r="Z12" s="348">
        <v>22.8</v>
      </c>
      <c r="AA12" s="349">
        <v>12.47</v>
      </c>
      <c r="AB12" s="347">
        <v>27.58</v>
      </c>
      <c r="AC12" s="350">
        <v>22.8</v>
      </c>
      <c r="AD12" s="233"/>
      <c r="AE12" s="346">
        <f t="shared" si="3"/>
        <v>8.6953257263860753</v>
      </c>
      <c r="AF12" s="347">
        <f t="shared" si="0"/>
        <v>8.4164211537441441E-2</v>
      </c>
      <c r="AG12" s="348">
        <f t="shared" si="0"/>
        <v>0.69577375745238068</v>
      </c>
      <c r="AH12" s="349">
        <f t="shared" si="0"/>
        <v>9.0187842326192591</v>
      </c>
      <c r="AI12" s="347">
        <f t="shared" si="0"/>
        <v>8.4164211537441441E-2</v>
      </c>
      <c r="AJ12" s="350">
        <f t="shared" si="0"/>
        <v>0.76535113319761827</v>
      </c>
      <c r="AK12" s="233"/>
      <c r="AL12" s="86">
        <f t="shared" si="4"/>
        <v>2.6453183833840533E-2</v>
      </c>
      <c r="AM12" s="87">
        <f t="shared" si="1"/>
        <v>3.0232210095817752E-2</v>
      </c>
      <c r="AN12" s="95">
        <f t="shared" si="1"/>
        <v>3.5270911778454039E-2</v>
      </c>
      <c r="AO12" s="232">
        <f t="shared" si="1"/>
        <v>2.6453183833840533E-2</v>
      </c>
      <c r="AP12" s="87">
        <f t="shared" si="1"/>
        <v>3.0232210095817752E-2</v>
      </c>
      <c r="AQ12" s="189">
        <f t="shared" si="1"/>
        <v>3.5270911778454039E-2</v>
      </c>
      <c r="AR12" s="233"/>
      <c r="AS12" s="86">
        <f t="shared" si="5"/>
        <v>1.0459690277588498</v>
      </c>
      <c r="AT12" s="87">
        <f t="shared" si="6"/>
        <v>6.0162019727298649E-2</v>
      </c>
      <c r="AU12" s="83">
        <f t="shared" si="7"/>
        <v>0</v>
      </c>
      <c r="AV12" s="232">
        <f t="shared" si="8"/>
        <v>1.0848781600824833</v>
      </c>
      <c r="AW12" s="87">
        <f t="shared" si="9"/>
        <v>6.0162019727298649E-2</v>
      </c>
      <c r="AX12" s="187">
        <f t="shared" si="10"/>
        <v>0</v>
      </c>
      <c r="AY12" s="233"/>
      <c r="AZ12" s="86">
        <f t="shared" ref="AZ12:AZ14" si="15">($D$23*$D$4*$D$27)/1000</f>
        <v>387.083480259</v>
      </c>
      <c r="BA12" s="87"/>
      <c r="BB12" s="83"/>
      <c r="BC12" s="233"/>
      <c r="BD12" s="70">
        <f t="shared" si="13"/>
        <v>7060.4005945465287</v>
      </c>
      <c r="BE12" s="94">
        <f t="shared" si="11"/>
        <v>821.67749796301462</v>
      </c>
      <c r="BF12" s="173">
        <f t="shared" si="2"/>
        <v>387.083480259</v>
      </c>
      <c r="BG12" s="70">
        <f t="shared" si="14"/>
        <v>8269.1615727685439</v>
      </c>
    </row>
    <row r="13" spans="1:62" ht="12" customHeight="1" x14ac:dyDescent="0.25">
      <c r="A13" s="374" t="s">
        <v>34</v>
      </c>
      <c r="B13" s="375"/>
      <c r="C13" s="375"/>
      <c r="D13" s="375"/>
      <c r="E13" s="375"/>
      <c r="F13" s="376"/>
      <c r="H13" s="243">
        <v>7</v>
      </c>
      <c r="I13" s="233"/>
      <c r="J13" s="321">
        <v>405.2397490358984</v>
      </c>
      <c r="K13" s="325">
        <v>1.7734781139426627</v>
      </c>
      <c r="L13" s="321">
        <v>17.73478113942663</v>
      </c>
      <c r="M13" s="231">
        <v>420.31431300441108</v>
      </c>
      <c r="N13" s="72">
        <v>1.7734781139426627</v>
      </c>
      <c r="O13" s="187">
        <v>19.508259253369289</v>
      </c>
      <c r="P13" s="233"/>
      <c r="Q13" s="326">
        <v>65.047320907468304</v>
      </c>
      <c r="R13" s="326">
        <v>56.916405794034766</v>
      </c>
      <c r="S13" s="327">
        <v>48.785490680601235</v>
      </c>
      <c r="T13" s="328">
        <v>65.04732090746829</v>
      </c>
      <c r="U13" s="326">
        <v>56.916405794034759</v>
      </c>
      <c r="V13" s="327">
        <v>48.785490680601221</v>
      </c>
      <c r="W13" s="233"/>
      <c r="X13" s="346">
        <v>12.67</v>
      </c>
      <c r="Y13" s="347">
        <v>27.73</v>
      </c>
      <c r="Z13" s="348">
        <v>22.86</v>
      </c>
      <c r="AA13" s="349">
        <v>12.67</v>
      </c>
      <c r="AB13" s="347">
        <v>27.73</v>
      </c>
      <c r="AC13" s="350">
        <v>22.86</v>
      </c>
      <c r="AD13" s="233"/>
      <c r="AE13" s="346">
        <f t="shared" si="3"/>
        <v>9.0998292110594168</v>
      </c>
      <c r="AF13" s="347">
        <f t="shared" si="0"/>
        <v>8.7160616153417303E-2</v>
      </c>
      <c r="AG13" s="348">
        <f t="shared" si="0"/>
        <v>0.71853288325536246</v>
      </c>
      <c r="AH13" s="349">
        <f t="shared" si="0"/>
        <v>9.4383348928712572</v>
      </c>
      <c r="AI13" s="347">
        <f t="shared" si="0"/>
        <v>8.7160616153417303E-2</v>
      </c>
      <c r="AJ13" s="350">
        <f t="shared" si="0"/>
        <v>0.7903861715808983</v>
      </c>
      <c r="AK13" s="233"/>
      <c r="AL13" s="86">
        <f t="shared" si="4"/>
        <v>2.7246779348855745E-2</v>
      </c>
      <c r="AM13" s="87">
        <f t="shared" si="1"/>
        <v>3.1139176398692282E-2</v>
      </c>
      <c r="AN13" s="95">
        <f t="shared" si="1"/>
        <v>3.6329039131807656E-2</v>
      </c>
      <c r="AO13" s="232">
        <f t="shared" si="1"/>
        <v>2.7246779348855752E-2</v>
      </c>
      <c r="AP13" s="87">
        <f t="shared" si="1"/>
        <v>3.1139176398692285E-2</v>
      </c>
      <c r="AQ13" s="189">
        <f t="shared" si="1"/>
        <v>3.6329039131807669E-2</v>
      </c>
      <c r="AR13" s="233"/>
      <c r="AS13" s="86">
        <f t="shared" si="5"/>
        <v>1.1096685415493637</v>
      </c>
      <c r="AT13" s="87">
        <f t="shared" si="6"/>
        <v>6.3825886728691134E-2</v>
      </c>
      <c r="AU13" s="83">
        <f t="shared" si="7"/>
        <v>0</v>
      </c>
      <c r="AV13" s="232">
        <f t="shared" si="8"/>
        <v>1.1509472400315064</v>
      </c>
      <c r="AW13" s="87">
        <f t="shared" si="9"/>
        <v>6.3825886728691134E-2</v>
      </c>
      <c r="AX13" s="187">
        <f t="shared" si="10"/>
        <v>0</v>
      </c>
      <c r="AY13" s="233"/>
      <c r="AZ13" s="86">
        <f t="shared" si="15"/>
        <v>387.083480259</v>
      </c>
      <c r="BA13" s="72"/>
      <c r="BB13" s="83"/>
      <c r="BC13" s="233"/>
      <c r="BD13" s="70">
        <f t="shared" si="13"/>
        <v>7380.8126027419257</v>
      </c>
      <c r="BE13" s="94">
        <f t="shared" si="11"/>
        <v>871.71765758896208</v>
      </c>
      <c r="BF13" s="173">
        <f t="shared" si="2"/>
        <v>387.083480259</v>
      </c>
      <c r="BG13" s="70">
        <f t="shared" si="14"/>
        <v>8639.613740589888</v>
      </c>
    </row>
    <row r="14" spans="1:62" ht="12" customHeight="1" x14ac:dyDescent="0.25">
      <c r="A14" s="43"/>
      <c r="B14" s="44"/>
      <c r="C14" s="60" t="s">
        <v>35</v>
      </c>
      <c r="D14" s="63">
        <v>50.25</v>
      </c>
      <c r="E14" s="34" t="s">
        <v>36</v>
      </c>
      <c r="F14" s="45"/>
      <c r="H14" s="243">
        <v>8</v>
      </c>
      <c r="I14" s="233"/>
      <c r="J14" s="321">
        <v>417.39694150697528</v>
      </c>
      <c r="K14" s="325">
        <v>1.8266824573609428</v>
      </c>
      <c r="L14" s="321">
        <v>18.266824573609426</v>
      </c>
      <c r="M14" s="231">
        <v>432.92374239454347</v>
      </c>
      <c r="N14" s="72">
        <v>1.8266824573609428</v>
      </c>
      <c r="O14" s="187">
        <v>20.093507030970368</v>
      </c>
      <c r="P14" s="233"/>
      <c r="Q14" s="326">
        <v>63.152738745114853</v>
      </c>
      <c r="R14" s="326">
        <v>55.258646401975497</v>
      </c>
      <c r="S14" s="327">
        <v>47.364554058836148</v>
      </c>
      <c r="T14" s="328">
        <v>63.152738745114831</v>
      </c>
      <c r="U14" s="326">
        <v>55.258646401975483</v>
      </c>
      <c r="V14" s="327">
        <v>47.364554058836127</v>
      </c>
      <c r="W14" s="233"/>
      <c r="X14" s="346">
        <v>12.81</v>
      </c>
      <c r="Y14" s="347">
        <v>27.89</v>
      </c>
      <c r="Z14" s="348">
        <v>23.04</v>
      </c>
      <c r="AA14" s="349">
        <v>12.81</v>
      </c>
      <c r="AB14" s="347">
        <v>27.89</v>
      </c>
      <c r="AC14" s="350">
        <v>23.04</v>
      </c>
      <c r="AD14" s="233"/>
      <c r="AE14" s="346">
        <f t="shared" si="3"/>
        <v>9.4763912043789453</v>
      </c>
      <c r="AF14" s="347">
        <f t="shared" si="0"/>
        <v>9.0293432097164561E-2</v>
      </c>
      <c r="AG14" s="348">
        <f t="shared" si="0"/>
        <v>0.74591634116840122</v>
      </c>
      <c r="AH14" s="349">
        <f t="shared" si="0"/>
        <v>9.8289046627475329</v>
      </c>
      <c r="AI14" s="347">
        <f t="shared" si="0"/>
        <v>9.0293432097164561E-2</v>
      </c>
      <c r="AJ14" s="350">
        <f t="shared" si="0"/>
        <v>0.82050797528524133</v>
      </c>
      <c r="AK14" s="233"/>
      <c r="AL14" s="86">
        <f t="shared" si="4"/>
        <v>2.8064182729321419E-2</v>
      </c>
      <c r="AM14" s="87">
        <f t="shared" si="1"/>
        <v>3.2073351690653049E-2</v>
      </c>
      <c r="AN14" s="95">
        <f t="shared" si="1"/>
        <v>3.7418910305761888E-2</v>
      </c>
      <c r="AO14" s="232">
        <f t="shared" si="1"/>
        <v>2.806418272932143E-2</v>
      </c>
      <c r="AP14" s="87">
        <f t="shared" si="1"/>
        <v>3.2073351690653062E-2</v>
      </c>
      <c r="AQ14" s="189">
        <f t="shared" si="1"/>
        <v>3.7418910305761902E-2</v>
      </c>
      <c r="AR14" s="233"/>
      <c r="AS14" s="86">
        <f t="shared" si="5"/>
        <v>1.1772473557297196</v>
      </c>
      <c r="AT14" s="87">
        <f t="shared" si="6"/>
        <v>6.7712883230468424E-2</v>
      </c>
      <c r="AU14" s="83">
        <f t="shared" si="7"/>
        <v>0</v>
      </c>
      <c r="AV14" s="232">
        <f t="shared" si="8"/>
        <v>1.2210399269494254</v>
      </c>
      <c r="AW14" s="87">
        <f t="shared" si="9"/>
        <v>6.7712883230468451E-2</v>
      </c>
      <c r="AX14" s="187">
        <f t="shared" si="10"/>
        <v>0</v>
      </c>
      <c r="AY14" s="233"/>
      <c r="AZ14" s="86">
        <f t="shared" si="15"/>
        <v>387.083480259</v>
      </c>
      <c r="BA14" s="233"/>
      <c r="BB14" s="83"/>
      <c r="BC14" s="233"/>
      <c r="BD14" s="70">
        <f t="shared" si="13"/>
        <v>7684.0920724376747</v>
      </c>
      <c r="BE14" s="94">
        <f t="shared" si="11"/>
        <v>924.80526293612991</v>
      </c>
      <c r="BF14" s="173">
        <f t="shared" si="2"/>
        <v>387.083480259</v>
      </c>
      <c r="BG14" s="70">
        <f t="shared" si="14"/>
        <v>8995.9808156328036</v>
      </c>
    </row>
    <row r="15" spans="1:62" ht="12" customHeight="1" x14ac:dyDescent="0.25">
      <c r="A15" s="46"/>
      <c r="B15" s="42"/>
      <c r="C15" s="57" t="s">
        <v>37</v>
      </c>
      <c r="D15" s="65">
        <v>30.15</v>
      </c>
      <c r="E15" s="35" t="s">
        <v>36</v>
      </c>
      <c r="F15" s="47"/>
      <c r="H15" s="243">
        <v>9</v>
      </c>
      <c r="I15" s="233"/>
      <c r="J15" s="321">
        <v>429.9188497521846</v>
      </c>
      <c r="K15" s="325">
        <v>1.8814829310817709</v>
      </c>
      <c r="L15" s="321">
        <v>18.814829310817711</v>
      </c>
      <c r="M15" s="231">
        <v>445.91145466637977</v>
      </c>
      <c r="N15" s="72">
        <v>1.8814829310817709</v>
      </c>
      <c r="O15" s="187">
        <v>20.696312241899481</v>
      </c>
      <c r="P15" s="233"/>
      <c r="Q15" s="326">
        <v>61.313338587490144</v>
      </c>
      <c r="R15" s="326">
        <v>53.649171264053884</v>
      </c>
      <c r="S15" s="327">
        <v>45.985003940617617</v>
      </c>
      <c r="T15" s="328">
        <v>61.313338587490129</v>
      </c>
      <c r="U15" s="326">
        <v>53.649171264053869</v>
      </c>
      <c r="V15" s="327">
        <v>45.985003940617602</v>
      </c>
      <c r="W15" s="233"/>
      <c r="X15" s="346">
        <v>12.97</v>
      </c>
      <c r="Y15" s="347">
        <v>27.97</v>
      </c>
      <c r="Z15" s="348">
        <v>23.11</v>
      </c>
      <c r="AA15" s="349">
        <v>12.97</v>
      </c>
      <c r="AB15" s="347">
        <v>27.97</v>
      </c>
      <c r="AC15" s="350">
        <v>23.11</v>
      </c>
      <c r="AD15" s="233"/>
      <c r="AE15" s="346">
        <f t="shared" si="3"/>
        <v>9.8825962325073231</v>
      </c>
      <c r="AF15" s="347">
        <f t="shared" si="0"/>
        <v>9.3269003751539001E-2</v>
      </c>
      <c r="AG15" s="348">
        <f t="shared" si="0"/>
        <v>0.77062805745372431</v>
      </c>
      <c r="AH15" s="349">
        <f t="shared" si="0"/>
        <v>10.250220162381778</v>
      </c>
      <c r="AI15" s="347">
        <f t="shared" si="0"/>
        <v>9.3269003751539001E-2</v>
      </c>
      <c r="AJ15" s="350">
        <f t="shared" si="0"/>
        <v>0.84769086319909659</v>
      </c>
      <c r="AK15" s="233"/>
      <c r="AL15" s="86">
        <f t="shared" si="4"/>
        <v>2.8906108211201067E-2</v>
      </c>
      <c r="AM15" s="87">
        <f t="shared" si="1"/>
        <v>3.303555224137264E-2</v>
      </c>
      <c r="AN15" s="95">
        <f t="shared" si="1"/>
        <v>3.8541477614934747E-2</v>
      </c>
      <c r="AO15" s="232">
        <f t="shared" si="1"/>
        <v>2.890610821120107E-2</v>
      </c>
      <c r="AP15" s="87">
        <f t="shared" si="1"/>
        <v>3.3035552241372647E-2</v>
      </c>
      <c r="AQ15" s="189">
        <f t="shared" si="1"/>
        <v>3.854147761493476E-2</v>
      </c>
      <c r="AR15" s="233"/>
      <c r="AS15" s="86">
        <f t="shared" si="5"/>
        <v>1.2489417196936599</v>
      </c>
      <c r="AT15" s="87">
        <f t="shared" si="6"/>
        <v>7.1836597819203943E-2</v>
      </c>
      <c r="AU15" s="83">
        <f t="shared" si="7"/>
        <v>0</v>
      </c>
      <c r="AV15" s="232">
        <f t="shared" si="8"/>
        <v>1.2954012585006456</v>
      </c>
      <c r="AW15" s="87">
        <f t="shared" si="9"/>
        <v>7.1836597819203957E-2</v>
      </c>
      <c r="AX15" s="187">
        <f t="shared" si="10"/>
        <v>0</v>
      </c>
      <c r="AY15" s="233"/>
      <c r="AZ15" s="86">
        <f t="shared" ref="AZ15:AZ18" si="16">($D$23*$D$4*$D$27)/1000</f>
        <v>387.083480259</v>
      </c>
      <c r="BA15" s="72"/>
      <c r="BB15" s="83"/>
      <c r="BC15" s="233"/>
      <c r="BD15" s="70">
        <f t="shared" si="13"/>
        <v>8007.2507629114252</v>
      </c>
      <c r="BE15" s="94">
        <f t="shared" si="11"/>
        <v>981.12590344894056</v>
      </c>
      <c r="BF15" s="173">
        <f t="shared" si="2"/>
        <v>387.083480259</v>
      </c>
      <c r="BG15" s="70">
        <f t="shared" si="14"/>
        <v>9375.4601466193653</v>
      </c>
    </row>
    <row r="16" spans="1:62" ht="12" customHeight="1" x14ac:dyDescent="0.25">
      <c r="A16" s="46"/>
      <c r="B16" s="42"/>
      <c r="C16" s="57" t="s">
        <v>38</v>
      </c>
      <c r="D16" s="64" t="s">
        <v>57</v>
      </c>
      <c r="E16" s="35"/>
      <c r="F16" s="47"/>
      <c r="H16" s="243">
        <v>10</v>
      </c>
      <c r="I16" s="233"/>
      <c r="J16" s="321">
        <v>442.81641524475015</v>
      </c>
      <c r="K16" s="325">
        <v>1.9379274190142242</v>
      </c>
      <c r="L16" s="321">
        <v>19.379274190142244</v>
      </c>
      <c r="M16" s="231">
        <v>459.28879830637112</v>
      </c>
      <c r="N16" s="72">
        <v>1.9379274190142242</v>
      </c>
      <c r="O16" s="187">
        <v>21.317201609156463</v>
      </c>
      <c r="P16" s="233"/>
      <c r="Q16" s="326">
        <v>59.527513191738002</v>
      </c>
      <c r="R16" s="326">
        <v>52.086574042770756</v>
      </c>
      <c r="S16" s="327">
        <v>44.645634893803511</v>
      </c>
      <c r="T16" s="328">
        <v>59.527513191737981</v>
      </c>
      <c r="U16" s="326">
        <v>52.086574042770742</v>
      </c>
      <c r="V16" s="327">
        <v>44.645634893803489</v>
      </c>
      <c r="W16" s="233"/>
      <c r="X16" s="346">
        <v>13.05</v>
      </c>
      <c r="Y16" s="347">
        <v>28.15</v>
      </c>
      <c r="Z16" s="348">
        <v>23.26</v>
      </c>
      <c r="AA16" s="349">
        <v>13.05</v>
      </c>
      <c r="AB16" s="347">
        <v>28.15</v>
      </c>
      <c r="AC16" s="350">
        <v>23.26</v>
      </c>
      <c r="AD16" s="233"/>
      <c r="AE16" s="346">
        <f t="shared" si="3"/>
        <v>10.241859464861001</v>
      </c>
      <c r="AF16" s="347">
        <f t="shared" si="0"/>
        <v>9.6685310306542663E-2</v>
      </c>
      <c r="AG16" s="348">
        <f t="shared" si="0"/>
        <v>0.79889886953114841</v>
      </c>
      <c r="AH16" s="349">
        <f t="shared" si="0"/>
        <v>10.622847672525417</v>
      </c>
      <c r="AI16" s="347">
        <f t="shared" si="0"/>
        <v>9.6685310306542663E-2</v>
      </c>
      <c r="AJ16" s="350">
        <f t="shared" si="0"/>
        <v>0.87878875648426302</v>
      </c>
      <c r="AK16" s="233"/>
      <c r="AL16" s="86">
        <f t="shared" si="4"/>
        <v>2.9773291457537099E-2</v>
      </c>
      <c r="AM16" s="87">
        <f t="shared" si="1"/>
        <v>3.4026618808613823E-2</v>
      </c>
      <c r="AN16" s="95">
        <f t="shared" si="1"/>
        <v>3.9697721943382787E-2</v>
      </c>
      <c r="AO16" s="232">
        <f t="shared" si="1"/>
        <v>2.9773291457537109E-2</v>
      </c>
      <c r="AP16" s="87">
        <f t="shared" si="1"/>
        <v>3.402661880861383E-2</v>
      </c>
      <c r="AQ16" s="189">
        <f t="shared" si="1"/>
        <v>3.9697721943382808E-2</v>
      </c>
      <c r="AR16" s="233"/>
      <c r="AS16" s="86">
        <f t="shared" si="5"/>
        <v>1.325002270423004</v>
      </c>
      <c r="AT16" s="87">
        <f t="shared" si="6"/>
        <v>7.6211446626393481E-2</v>
      </c>
      <c r="AU16" s="83">
        <f t="shared" si="7"/>
        <v>0</v>
      </c>
      <c r="AV16" s="232">
        <f t="shared" si="8"/>
        <v>1.3742911951433352</v>
      </c>
      <c r="AW16" s="87">
        <f t="shared" si="9"/>
        <v>7.6211446626393495E-2</v>
      </c>
      <c r="AX16" s="187">
        <f t="shared" si="10"/>
        <v>0</v>
      </c>
      <c r="AY16" s="233"/>
      <c r="AZ16" s="86"/>
      <c r="BA16" s="233"/>
      <c r="BB16" s="95">
        <f>($D$25*$D$4*$D$27)/1000</f>
        <v>18969.2296894268</v>
      </c>
      <c r="BC16" s="233"/>
      <c r="BD16" s="70">
        <f t="shared" si="13"/>
        <v>8298.5543651654443</v>
      </c>
      <c r="BE16" s="94">
        <f t="shared" si="11"/>
        <v>1040.876470968981</v>
      </c>
      <c r="BF16" s="173">
        <f t="shared" si="2"/>
        <v>18969.2296894268</v>
      </c>
      <c r="BG16" s="70">
        <f t="shared" si="14"/>
        <v>28308.660525561223</v>
      </c>
    </row>
    <row r="17" spans="1:59" ht="12" customHeight="1" x14ac:dyDescent="0.25">
      <c r="A17" s="46"/>
      <c r="B17" s="42"/>
      <c r="C17" s="57" t="s">
        <v>39</v>
      </c>
      <c r="D17" s="65">
        <v>2</v>
      </c>
      <c r="E17" s="35" t="s">
        <v>40</v>
      </c>
      <c r="F17" s="47"/>
      <c r="H17" s="243">
        <v>11</v>
      </c>
      <c r="I17" s="233"/>
      <c r="J17" s="321">
        <v>456.10090770209268</v>
      </c>
      <c r="K17" s="325">
        <v>1.9960652415846509</v>
      </c>
      <c r="L17" s="321">
        <v>19.960652415846511</v>
      </c>
      <c r="M17" s="231">
        <v>473.06746225556225</v>
      </c>
      <c r="N17" s="72">
        <v>1.9960652415846509</v>
      </c>
      <c r="O17" s="187">
        <v>21.95671765743116</v>
      </c>
      <c r="P17" s="233"/>
      <c r="Q17" s="326">
        <v>57.793702127900971</v>
      </c>
      <c r="R17" s="326">
        <v>50.569489361913355</v>
      </c>
      <c r="S17" s="327">
        <v>43.345276595925732</v>
      </c>
      <c r="T17" s="328">
        <v>57.793702127900957</v>
      </c>
      <c r="U17" s="326">
        <v>50.569489361913341</v>
      </c>
      <c r="V17" s="327">
        <v>43.345276595925718</v>
      </c>
      <c r="W17" s="233"/>
      <c r="X17" s="346">
        <v>13.22</v>
      </c>
      <c r="Y17" s="347">
        <v>28.25</v>
      </c>
      <c r="Z17" s="348">
        <v>23.41</v>
      </c>
      <c r="AA17" s="349">
        <v>13.22</v>
      </c>
      <c r="AB17" s="347">
        <v>28.25</v>
      </c>
      <c r="AC17" s="350">
        <v>23.41</v>
      </c>
      <c r="AD17" s="233"/>
      <c r="AE17" s="346">
        <f t="shared" si="3"/>
        <v>10.686536673503934</v>
      </c>
      <c r="AF17" s="347">
        <f t="shared" si="0"/>
        <v>9.9939638246700713E-2</v>
      </c>
      <c r="AG17" s="348">
        <f t="shared" si="0"/>
        <v>0.82817236508150938</v>
      </c>
      <c r="AH17" s="349">
        <f t="shared" si="0"/>
        <v>11.084066484115677</v>
      </c>
      <c r="AI17" s="347">
        <f t="shared" si="0"/>
        <v>9.9939638246700713E-2</v>
      </c>
      <c r="AJ17" s="350">
        <f t="shared" si="0"/>
        <v>0.91098960158966014</v>
      </c>
      <c r="AK17" s="233"/>
      <c r="AL17" s="86">
        <f t="shared" si="4"/>
        <v>3.0666490201263212E-2</v>
      </c>
      <c r="AM17" s="87">
        <f t="shared" si="1"/>
        <v>3.5047417372872237E-2</v>
      </c>
      <c r="AN17" s="95">
        <f t="shared" si="1"/>
        <v>4.0888653601684276E-2</v>
      </c>
      <c r="AO17" s="232">
        <f t="shared" si="1"/>
        <v>3.0666490201263219E-2</v>
      </c>
      <c r="AP17" s="87">
        <f t="shared" si="1"/>
        <v>3.5047417372872251E-2</v>
      </c>
      <c r="AQ17" s="189">
        <f t="shared" si="1"/>
        <v>4.088865360168429E-2</v>
      </c>
      <c r="AR17" s="233"/>
      <c r="AS17" s="86">
        <f t="shared" si="5"/>
        <v>1.4056949086917649</v>
      </c>
      <c r="AT17" s="87">
        <f t="shared" si="6"/>
        <v>8.0852723725940837E-2</v>
      </c>
      <c r="AU17" s="83">
        <f t="shared" si="7"/>
        <v>0</v>
      </c>
      <c r="AV17" s="232">
        <f t="shared" si="8"/>
        <v>1.4579855289275641</v>
      </c>
      <c r="AW17" s="87">
        <f t="shared" si="9"/>
        <v>8.0852723725940864E-2</v>
      </c>
      <c r="AX17" s="187">
        <f t="shared" si="10"/>
        <v>0</v>
      </c>
      <c r="AY17" s="233"/>
      <c r="AZ17" s="86">
        <f t="shared" si="16"/>
        <v>387.083480259</v>
      </c>
      <c r="BA17" s="72"/>
      <c r="BB17" s="83"/>
      <c r="BC17" s="233"/>
      <c r="BD17" s="70">
        <f t="shared" si="13"/>
        <v>8654.0202062862245</v>
      </c>
      <c r="BE17" s="94">
        <f t="shared" si="11"/>
        <v>1104.2658480509917</v>
      </c>
      <c r="BF17" s="173">
        <f t="shared" si="2"/>
        <v>387.083480259</v>
      </c>
      <c r="BG17" s="70">
        <f t="shared" si="14"/>
        <v>10145.369534596215</v>
      </c>
    </row>
    <row r="18" spans="1:59" ht="12" customHeight="1" x14ac:dyDescent="0.25">
      <c r="A18" s="46"/>
      <c r="B18" s="42"/>
      <c r="C18" s="57" t="s">
        <v>41</v>
      </c>
      <c r="D18" s="65">
        <v>23</v>
      </c>
      <c r="E18" s="35" t="s">
        <v>40</v>
      </c>
      <c r="F18" s="47"/>
      <c r="H18" s="243">
        <v>12</v>
      </c>
      <c r="I18" s="233"/>
      <c r="J18" s="321">
        <v>469.78393493315548</v>
      </c>
      <c r="K18" s="325">
        <v>2.0559471988321905</v>
      </c>
      <c r="L18" s="321">
        <v>20.559471988321906</v>
      </c>
      <c r="M18" s="231">
        <v>487.25948612322912</v>
      </c>
      <c r="N18" s="72">
        <v>2.0559471988321905</v>
      </c>
      <c r="O18" s="187">
        <v>22.615419187154096</v>
      </c>
      <c r="P18" s="233"/>
      <c r="Q18" s="326">
        <v>56.110390415437834</v>
      </c>
      <c r="R18" s="326">
        <v>49.09659161350811</v>
      </c>
      <c r="S18" s="327">
        <v>42.082792811578379</v>
      </c>
      <c r="T18" s="328">
        <v>56.110390415437827</v>
      </c>
      <c r="U18" s="326">
        <v>49.09659161350811</v>
      </c>
      <c r="V18" s="327">
        <v>42.082792811578372</v>
      </c>
      <c r="W18" s="233"/>
      <c r="X18" s="346">
        <v>13.4</v>
      </c>
      <c r="Y18" s="347">
        <v>28.46</v>
      </c>
      <c r="Z18" s="348">
        <v>23.49</v>
      </c>
      <c r="AA18" s="349">
        <v>13.4</v>
      </c>
      <c r="AB18" s="347">
        <v>28.46</v>
      </c>
      <c r="AC18" s="350">
        <v>23.49</v>
      </c>
      <c r="AD18" s="233"/>
      <c r="AE18" s="346">
        <f t="shared" si="3"/>
        <v>11.157002962761066</v>
      </c>
      <c r="AF18" s="347">
        <f t="shared" si="0"/>
        <v>0.10370302894287203</v>
      </c>
      <c r="AG18" s="348">
        <f t="shared" si="0"/>
        <v>0.8559325895530796</v>
      </c>
      <c r="AH18" s="349">
        <f t="shared" si="0"/>
        <v>11.572033707546488</v>
      </c>
      <c r="AI18" s="347">
        <f t="shared" si="0"/>
        <v>0.10370302894287203</v>
      </c>
      <c r="AJ18" s="350">
        <f t="shared" si="0"/>
        <v>0.94152584850838739</v>
      </c>
      <c r="AK18" s="233"/>
      <c r="AL18" s="86">
        <f t="shared" si="4"/>
        <v>3.1586484907301107E-2</v>
      </c>
      <c r="AM18" s="87">
        <f t="shared" si="1"/>
        <v>3.6098839894058404E-2</v>
      </c>
      <c r="AN18" s="95">
        <f t="shared" si="1"/>
        <v>4.2115313209734807E-2</v>
      </c>
      <c r="AO18" s="232">
        <f t="shared" si="1"/>
        <v>3.1586484907301114E-2</v>
      </c>
      <c r="AP18" s="87">
        <f t="shared" si="1"/>
        <v>3.6098839894058404E-2</v>
      </c>
      <c r="AQ18" s="189">
        <f t="shared" si="1"/>
        <v>4.2115313209734814E-2</v>
      </c>
      <c r="AR18" s="233"/>
      <c r="AS18" s="86">
        <f t="shared" si="5"/>
        <v>1.4913017286310932</v>
      </c>
      <c r="AT18" s="87">
        <f t="shared" si="6"/>
        <v>8.5776654600850627E-2</v>
      </c>
      <c r="AU18" s="83">
        <f t="shared" si="7"/>
        <v>0</v>
      </c>
      <c r="AV18" s="232">
        <f t="shared" si="8"/>
        <v>1.5467768476392525</v>
      </c>
      <c r="AW18" s="87">
        <f t="shared" si="9"/>
        <v>8.5776654600850627E-2</v>
      </c>
      <c r="AX18" s="187">
        <f t="shared" si="10"/>
        <v>0</v>
      </c>
      <c r="AY18" s="233"/>
      <c r="AZ18" s="86">
        <f t="shared" si="16"/>
        <v>387.083480259</v>
      </c>
      <c r="BA18" s="72"/>
      <c r="BB18" s="95">
        <f>($D$26*$D$4*$D$27)/1000</f>
        <v>0</v>
      </c>
      <c r="BC18" s="233"/>
      <c r="BD18" s="70">
        <f t="shared" si="13"/>
        <v>9027.8739256829886</v>
      </c>
      <c r="BE18" s="94">
        <f t="shared" si="11"/>
        <v>1171.5156381972972</v>
      </c>
      <c r="BF18" s="173">
        <f t="shared" si="2"/>
        <v>387.083480259</v>
      </c>
      <c r="BG18" s="70">
        <f t="shared" si="14"/>
        <v>10586.473044139286</v>
      </c>
    </row>
    <row r="19" spans="1:59" ht="12" customHeight="1" x14ac:dyDescent="0.25">
      <c r="A19" s="46"/>
      <c r="B19" s="42"/>
      <c r="C19" s="57" t="s">
        <v>42</v>
      </c>
      <c r="D19" s="66" t="s">
        <v>57</v>
      </c>
      <c r="E19" s="35" t="s">
        <v>43</v>
      </c>
      <c r="F19" s="47"/>
      <c r="H19" s="243">
        <v>13</v>
      </c>
      <c r="I19" s="233"/>
      <c r="J19" s="321">
        <v>483.8774529811501</v>
      </c>
      <c r="K19" s="325">
        <v>2.1176256147971566</v>
      </c>
      <c r="L19" s="321">
        <v>21.176256147971564</v>
      </c>
      <c r="M19" s="231">
        <v>501.87727070692597</v>
      </c>
      <c r="N19" s="72">
        <v>2.1176256147971566</v>
      </c>
      <c r="O19" s="187">
        <v>23.29388176276872</v>
      </c>
      <c r="P19" s="233"/>
      <c r="Q19" s="326">
        <v>54.476107199454212</v>
      </c>
      <c r="R19" s="326">
        <v>47.666593799522438</v>
      </c>
      <c r="S19" s="327">
        <v>40.857080399590664</v>
      </c>
      <c r="T19" s="328">
        <v>54.476107199454198</v>
      </c>
      <c r="U19" s="326">
        <v>47.666593799522431</v>
      </c>
      <c r="V19" s="327">
        <v>40.85708039959065</v>
      </c>
      <c r="W19" s="233"/>
      <c r="X19" s="346">
        <v>13.6</v>
      </c>
      <c r="Y19" s="347">
        <v>28.57</v>
      </c>
      <c r="Z19" s="348">
        <v>23.67</v>
      </c>
      <c r="AA19" s="349">
        <v>13.6</v>
      </c>
      <c r="AB19" s="347">
        <v>28.57</v>
      </c>
      <c r="AC19" s="350">
        <v>23.67</v>
      </c>
      <c r="AD19" s="233"/>
      <c r="AE19" s="346">
        <f t="shared" si="3"/>
        <v>11.663231156892312</v>
      </c>
      <c r="AF19" s="347">
        <f t="shared" si="0"/>
        <v>0.10722696426580432</v>
      </c>
      <c r="AG19" s="348">
        <f t="shared" si="0"/>
        <v>0.88836620377024433</v>
      </c>
      <c r="AH19" s="349">
        <f t="shared" si="0"/>
        <v>12.097093147411282</v>
      </c>
      <c r="AI19" s="347">
        <f t="shared" si="0"/>
        <v>0.10722696426580432</v>
      </c>
      <c r="AJ19" s="350">
        <f t="shared" si="0"/>
        <v>0.97720282414726867</v>
      </c>
      <c r="AK19" s="233"/>
      <c r="AL19" s="86">
        <f t="shared" si="4"/>
        <v>3.2534079454520137E-2</v>
      </c>
      <c r="AM19" s="87">
        <f t="shared" si="1"/>
        <v>3.7181805090880156E-2</v>
      </c>
      <c r="AN19" s="95">
        <f t="shared" si="1"/>
        <v>4.337877260602685E-2</v>
      </c>
      <c r="AO19" s="232">
        <f t="shared" si="1"/>
        <v>3.2534079454520151E-2</v>
      </c>
      <c r="AP19" s="87">
        <f t="shared" si="1"/>
        <v>3.7181805090880163E-2</v>
      </c>
      <c r="AQ19" s="189">
        <f t="shared" si="1"/>
        <v>4.3378772606026864E-2</v>
      </c>
      <c r="AR19" s="233"/>
      <c r="AS19" s="86">
        <f t="shared" si="5"/>
        <v>1.5821220039047266</v>
      </c>
      <c r="AT19" s="87">
        <f t="shared" si="6"/>
        <v>9.1000452866042456E-2</v>
      </c>
      <c r="AU19" s="83">
        <f t="shared" si="7"/>
        <v>0</v>
      </c>
      <c r="AV19" s="232">
        <f t="shared" si="8"/>
        <v>1.6409755576604834</v>
      </c>
      <c r="AW19" s="87">
        <f t="shared" si="9"/>
        <v>9.1000452866042469E-2</v>
      </c>
      <c r="AX19" s="187">
        <f t="shared" si="10"/>
        <v>0</v>
      </c>
      <c r="AY19" s="233"/>
      <c r="AZ19" s="86">
        <f t="shared" ref="AZ19" si="17">($D$23*$D$4*$D$27)/1000</f>
        <v>387.083480259</v>
      </c>
      <c r="BA19" s="72"/>
      <c r="BB19" s="95"/>
      <c r="BC19" s="233"/>
      <c r="BD19" s="70">
        <f t="shared" si="13"/>
        <v>9431.7267501747428</v>
      </c>
      <c r="BE19" s="94">
        <f t="shared" si="11"/>
        <v>1242.8609405635127</v>
      </c>
      <c r="BF19" s="173">
        <f t="shared" si="2"/>
        <v>387.083480259</v>
      </c>
      <c r="BG19" s="70">
        <f t="shared" si="14"/>
        <v>11061.671170997255</v>
      </c>
    </row>
    <row r="20" spans="1:59" ht="12" customHeight="1" x14ac:dyDescent="0.25">
      <c r="A20" s="46"/>
      <c r="B20" s="42"/>
      <c r="C20" s="57" t="s">
        <v>44</v>
      </c>
      <c r="D20" s="65">
        <v>15.87</v>
      </c>
      <c r="E20" s="35" t="s">
        <v>45</v>
      </c>
      <c r="F20" s="47"/>
      <c r="H20" s="243">
        <v>14</v>
      </c>
      <c r="I20" s="233"/>
      <c r="J20" s="321">
        <v>498.39377657058463</v>
      </c>
      <c r="K20" s="325">
        <v>2.1811543832410711</v>
      </c>
      <c r="L20" s="321">
        <v>21.811543832410713</v>
      </c>
      <c r="M20" s="231">
        <v>516.93358882813379</v>
      </c>
      <c r="N20" s="72">
        <v>2.1811543832410711</v>
      </c>
      <c r="O20" s="187">
        <v>23.992698215651782</v>
      </c>
      <c r="P20" s="233"/>
      <c r="Q20" s="304">
        <v>52.889424465489526</v>
      </c>
      <c r="R20" s="326">
        <v>46.278246407303335</v>
      </c>
      <c r="S20" s="327">
        <v>39.667068349117152</v>
      </c>
      <c r="T20" s="328">
        <v>52.889424465489512</v>
      </c>
      <c r="U20" s="326">
        <v>46.278246407303328</v>
      </c>
      <c r="V20" s="327">
        <v>39.667068349117137</v>
      </c>
      <c r="W20" s="233"/>
      <c r="X20" s="346">
        <v>13.7</v>
      </c>
      <c r="Y20" s="347">
        <v>28.81</v>
      </c>
      <c r="Z20" s="348">
        <v>23.77</v>
      </c>
      <c r="AA20" s="349">
        <v>13.7</v>
      </c>
      <c r="AB20" s="347">
        <v>28.81</v>
      </c>
      <c r="AC20" s="350">
        <v>23.77</v>
      </c>
      <c r="AD20" s="233"/>
      <c r="AE20" s="346">
        <f t="shared" si="3"/>
        <v>12.101459915802016</v>
      </c>
      <c r="AF20" s="347">
        <f t="shared" si="0"/>
        <v>0.11137154727731034</v>
      </c>
      <c r="AG20" s="348">
        <f t="shared" si="0"/>
        <v>0.91888291523140142</v>
      </c>
      <c r="AH20" s="349">
        <f t="shared" si="0"/>
        <v>12.5516236325824</v>
      </c>
      <c r="AI20" s="347">
        <f t="shared" si="0"/>
        <v>0.11137154727731034</v>
      </c>
      <c r="AJ20" s="350">
        <f t="shared" si="0"/>
        <v>1.0107712067545414</v>
      </c>
      <c r="AK20" s="233"/>
      <c r="AL20" s="86">
        <f t="shared" si="4"/>
        <v>3.3510101838155747E-2</v>
      </c>
      <c r="AM20" s="87">
        <f t="shared" si="1"/>
        <v>3.8297259243606566E-2</v>
      </c>
      <c r="AN20" s="95">
        <f t="shared" si="1"/>
        <v>4.4680135784207653E-2</v>
      </c>
      <c r="AO20" s="232">
        <f t="shared" si="1"/>
        <v>3.3510101838155754E-2</v>
      </c>
      <c r="AP20" s="87">
        <f t="shared" si="1"/>
        <v>3.8297259243606573E-2</v>
      </c>
      <c r="AQ20" s="189">
        <f t="shared" si="1"/>
        <v>4.4680135784207667E-2</v>
      </c>
      <c r="AR20" s="233"/>
      <c r="AS20" s="86">
        <f t="shared" si="5"/>
        <v>1.678473233942525</v>
      </c>
      <c r="AT20" s="87">
        <f t="shared" si="6"/>
        <v>9.6542380445584441E-2</v>
      </c>
      <c r="AU20" s="83">
        <f t="shared" si="7"/>
        <v>0</v>
      </c>
      <c r="AV20" s="232">
        <f t="shared" si="8"/>
        <v>1.7409109691220066</v>
      </c>
      <c r="AW20" s="87">
        <f t="shared" si="9"/>
        <v>9.6542380445584469E-2</v>
      </c>
      <c r="AX20" s="187">
        <f t="shared" si="10"/>
        <v>0</v>
      </c>
      <c r="AY20" s="233"/>
      <c r="AZ20" s="86">
        <f>($D$23*$D$4*$D$27)/1000</f>
        <v>387.083480259</v>
      </c>
      <c r="BA20" s="87"/>
      <c r="BB20" s="95"/>
      <c r="BC20" s="233"/>
      <c r="BD20" s="70">
        <f>(AE20+AF20+AG20+AH20+AI20+AJ20)*365</f>
        <v>9784.0004791976171</v>
      </c>
      <c r="BE20" s="94">
        <f t="shared" si="11"/>
        <v>1318.5511718438306</v>
      </c>
      <c r="BF20" s="173">
        <f t="shared" si="2"/>
        <v>387.083480259</v>
      </c>
      <c r="BG20" s="70">
        <f t="shared" si="14"/>
        <v>11489.635131300447</v>
      </c>
    </row>
    <row r="21" spans="1:59" ht="12" customHeight="1" x14ac:dyDescent="0.25">
      <c r="A21" s="49"/>
      <c r="B21" s="50"/>
      <c r="C21" s="61" t="s">
        <v>46</v>
      </c>
      <c r="D21" s="59">
        <v>0.1</v>
      </c>
      <c r="E21" s="39"/>
      <c r="F21" s="51"/>
      <c r="H21" s="243">
        <v>15</v>
      </c>
      <c r="I21" s="233"/>
      <c r="J21" s="321">
        <v>513.34558986770219</v>
      </c>
      <c r="K21" s="325">
        <v>2.2465890147383036</v>
      </c>
      <c r="L21" s="321">
        <v>22.465890147383035</v>
      </c>
      <c r="M21" s="231">
        <v>532.44159649297785</v>
      </c>
      <c r="N21" s="72">
        <v>2.2465890147383036</v>
      </c>
      <c r="O21" s="187">
        <v>24.712479162121333</v>
      </c>
      <c r="P21" s="233"/>
      <c r="Q21" s="304">
        <v>51.348955791737403</v>
      </c>
      <c r="R21" s="326">
        <v>44.930336317770227</v>
      </c>
      <c r="S21" s="327">
        <v>38.511716843803057</v>
      </c>
      <c r="T21" s="328">
        <v>51.348955791737389</v>
      </c>
      <c r="U21" s="326">
        <v>44.93033631777022</v>
      </c>
      <c r="V21" s="327">
        <v>38.511716843803043</v>
      </c>
      <c r="W21" s="233"/>
      <c r="X21" s="346">
        <v>13.92</v>
      </c>
      <c r="Y21" s="347">
        <v>28.93</v>
      </c>
      <c r="Z21" s="348">
        <v>23.87</v>
      </c>
      <c r="AA21" s="349">
        <v>13.92</v>
      </c>
      <c r="AB21" s="347">
        <v>28.93</v>
      </c>
      <c r="AC21" s="350">
        <v>23.87</v>
      </c>
      <c r="AD21" s="233"/>
      <c r="AE21" s="346">
        <f t="shared" si="3"/>
        <v>12.664663626919927</v>
      </c>
      <c r="AF21" s="347">
        <f t="shared" si="0"/>
        <v>0.1151904973486486</v>
      </c>
      <c r="AG21" s="348">
        <f t="shared" si="0"/>
        <v>0.9504310997968346</v>
      </c>
      <c r="AH21" s="349">
        <f>AA21*M21*$D$4/1000</f>
        <v>13.135778028796599</v>
      </c>
      <c r="AI21" s="347">
        <f>AB21*N21*$D$4/1000</f>
        <v>0.1151904973486486</v>
      </c>
      <c r="AJ21" s="350">
        <f>AC21*O21*$D$4/1000</f>
        <v>1.0454742097765177</v>
      </c>
      <c r="AK21" s="233"/>
      <c r="AL21" s="86">
        <f t="shared" si="4"/>
        <v>3.4515404893300419E-2</v>
      </c>
      <c r="AM21" s="87">
        <f t="shared" si="1"/>
        <v>3.9446177020914762E-2</v>
      </c>
      <c r="AN21" s="95">
        <f t="shared" si="1"/>
        <v>4.6020539857733883E-2</v>
      </c>
      <c r="AO21" s="232">
        <f t="shared" si="1"/>
        <v>3.4515404893300426E-2</v>
      </c>
      <c r="AP21" s="87">
        <f t="shared" si="1"/>
        <v>3.9446177020914769E-2</v>
      </c>
      <c r="AQ21" s="189">
        <f>$D$4/V21</f>
        <v>4.6020539857733897E-2</v>
      </c>
      <c r="AR21" s="233"/>
      <c r="AS21" s="86">
        <f>(AL21*J21*($D$14*$D$17))/1000</f>
        <v>1.7806922538896248</v>
      </c>
      <c r="AT21" s="87">
        <f t="shared" si="6"/>
        <v>0.10242181141472055</v>
      </c>
      <c r="AU21" s="83">
        <f t="shared" si="7"/>
        <v>0</v>
      </c>
      <c r="AV21" s="232">
        <f t="shared" si="8"/>
        <v>1.8469324471415371</v>
      </c>
      <c r="AW21" s="87">
        <f>(AP21*N21*($D$14*$D$18))/1000</f>
        <v>0.10242181141472058</v>
      </c>
      <c r="AX21" s="187">
        <f t="shared" si="10"/>
        <v>0</v>
      </c>
      <c r="AY21" s="233"/>
      <c r="AZ21" s="86"/>
      <c r="BA21" s="87">
        <f>($D$24*$D$4*$D$27)/1000</f>
        <v>1632.9519128971999</v>
      </c>
      <c r="BB21" s="95"/>
      <c r="BC21" s="233"/>
      <c r="BD21" s="70">
        <f>(AE21+AF21+AG21+AH21+AI21+AJ21)*365</f>
        <v>10229.755705395319</v>
      </c>
      <c r="BE21" s="94">
        <f t="shared" si="11"/>
        <v>1398.8509382091202</v>
      </c>
      <c r="BF21" s="173">
        <f t="shared" si="2"/>
        <v>1632.9519128971999</v>
      </c>
      <c r="BG21" s="70">
        <f t="shared" si="14"/>
        <v>13261.558556501639</v>
      </c>
    </row>
    <row r="22" spans="1:59" ht="12" customHeight="1" x14ac:dyDescent="0.25">
      <c r="A22" s="374" t="s">
        <v>47</v>
      </c>
      <c r="B22" s="375"/>
      <c r="C22" s="375"/>
      <c r="D22" s="375"/>
      <c r="E22" s="375"/>
      <c r="F22" s="376"/>
      <c r="H22" s="1"/>
      <c r="J22" s="187"/>
      <c r="K22" s="187"/>
      <c r="L22" s="187"/>
      <c r="M22" s="187"/>
      <c r="N22" s="187"/>
      <c r="O22" s="187"/>
      <c r="Q22" s="191"/>
      <c r="R22" s="191"/>
      <c r="S22" s="191"/>
      <c r="T22" s="191"/>
      <c r="U22" s="191"/>
      <c r="V22" s="191"/>
      <c r="W22" s="139"/>
      <c r="X22" s="189"/>
      <c r="Y22" s="189"/>
      <c r="Z22" s="189"/>
      <c r="AA22" s="189"/>
      <c r="AB22" s="189"/>
      <c r="AC22" s="189"/>
      <c r="AD22" s="139"/>
      <c r="AE22" s="189"/>
      <c r="AF22" s="189"/>
      <c r="AG22" s="189"/>
      <c r="AH22" s="189"/>
      <c r="AI22" s="189"/>
      <c r="AJ22" s="189"/>
      <c r="AK22" s="139"/>
      <c r="AL22" s="190"/>
      <c r="AM22" s="190"/>
      <c r="AN22" s="190"/>
      <c r="AO22" s="190"/>
      <c r="AP22" s="190"/>
      <c r="AQ22" s="190"/>
      <c r="AR22" s="139"/>
      <c r="AS22" s="189"/>
      <c r="AT22" s="189"/>
      <c r="AU22" s="187"/>
      <c r="AV22" s="189"/>
      <c r="AW22" s="189"/>
      <c r="AX22" s="187"/>
      <c r="AZ22" s="189"/>
      <c r="BA22" s="139"/>
      <c r="BB22" s="189"/>
      <c r="BC22" s="139"/>
      <c r="BD22" s="192"/>
      <c r="BE22" s="192"/>
      <c r="BF22" s="193"/>
      <c r="BG22" s="192"/>
    </row>
    <row r="23" spans="1:59" ht="12" customHeight="1" x14ac:dyDescent="0.25">
      <c r="A23" s="43"/>
      <c r="B23" s="44"/>
      <c r="C23" s="38" t="s">
        <v>48</v>
      </c>
      <c r="D23" s="67">
        <v>33235.35</v>
      </c>
      <c r="E23" s="34" t="s">
        <v>49</v>
      </c>
      <c r="F23" s="45"/>
      <c r="H23" s="1"/>
      <c r="J23" s="187"/>
      <c r="K23" s="187"/>
      <c r="L23" s="187"/>
      <c r="M23" s="187"/>
      <c r="N23" s="187"/>
      <c r="O23" s="187"/>
      <c r="Q23" s="188"/>
      <c r="R23" s="188"/>
      <c r="S23" s="188"/>
      <c r="T23" s="188"/>
      <c r="U23" s="188"/>
      <c r="V23" s="188"/>
      <c r="W23" s="139"/>
      <c r="X23" s="189"/>
      <c r="Y23" s="189"/>
      <c r="Z23" s="189"/>
      <c r="AA23" s="189"/>
      <c r="AB23" s="189"/>
      <c r="AC23" s="189"/>
      <c r="AD23" s="139"/>
      <c r="AE23" s="189"/>
      <c r="AF23" s="189"/>
      <c r="AG23" s="189"/>
      <c r="AH23" s="189"/>
      <c r="AI23" s="189"/>
      <c r="AJ23" s="189"/>
      <c r="AK23" s="139"/>
      <c r="AL23" s="190"/>
      <c r="AM23" s="190"/>
      <c r="AN23" s="190"/>
      <c r="AO23" s="190"/>
      <c r="AP23" s="190"/>
      <c r="AQ23" s="190"/>
      <c r="AR23" s="139"/>
      <c r="AS23" s="189"/>
      <c r="AT23" s="189"/>
      <c r="AU23" s="187"/>
      <c r="AV23" s="189"/>
      <c r="AW23" s="189"/>
      <c r="AX23" s="187"/>
      <c r="AZ23" s="189"/>
      <c r="BA23" s="187"/>
      <c r="BB23" s="189"/>
      <c r="BC23" s="139"/>
      <c r="BD23" s="192"/>
      <c r="BE23" s="192"/>
      <c r="BF23" s="192"/>
      <c r="BG23" s="192"/>
    </row>
    <row r="24" spans="1:59" ht="12" customHeight="1" x14ac:dyDescent="0.25">
      <c r="A24" s="46"/>
      <c r="B24" s="42"/>
      <c r="C24" s="36" t="s">
        <v>50</v>
      </c>
      <c r="D24" s="68">
        <v>140206.78</v>
      </c>
      <c r="E24" s="35" t="s">
        <v>49</v>
      </c>
      <c r="F24" s="47"/>
      <c r="H24" s="1"/>
      <c r="J24" s="187"/>
      <c r="K24" s="187"/>
      <c r="L24" s="187"/>
      <c r="M24" s="187"/>
      <c r="N24" s="187"/>
      <c r="O24" s="187"/>
      <c r="Q24" s="188"/>
      <c r="R24" s="188"/>
      <c r="S24" s="188"/>
      <c r="T24" s="188"/>
      <c r="U24" s="188"/>
      <c r="V24" s="188"/>
      <c r="W24" s="139"/>
      <c r="X24" s="189"/>
      <c r="Y24" s="189"/>
      <c r="Z24" s="189"/>
      <c r="AA24" s="189"/>
      <c r="AB24" s="189"/>
      <c r="AC24" s="189"/>
      <c r="AD24" s="139"/>
      <c r="AE24" s="189"/>
      <c r="AF24" s="189"/>
      <c r="AG24" s="189"/>
      <c r="AH24" s="189"/>
      <c r="AI24" s="189"/>
      <c r="AJ24" s="189"/>
      <c r="AK24" s="139"/>
      <c r="AL24" s="190"/>
      <c r="AM24" s="190"/>
      <c r="AN24" s="190"/>
      <c r="AO24" s="190"/>
      <c r="AP24" s="190"/>
      <c r="AQ24" s="190"/>
      <c r="AR24" s="139"/>
      <c r="AS24" s="189"/>
      <c r="AT24" s="189"/>
      <c r="AU24" s="187"/>
      <c r="AV24" s="189"/>
      <c r="AW24" s="189"/>
      <c r="AX24" s="187"/>
      <c r="AZ24" s="189"/>
      <c r="BA24" s="187"/>
      <c r="BB24" s="189"/>
      <c r="BC24" s="139"/>
      <c r="BD24" s="192"/>
      <c r="BE24" s="192"/>
      <c r="BF24" s="192"/>
      <c r="BG24" s="192"/>
    </row>
    <row r="25" spans="1:59" ht="12" customHeight="1" x14ac:dyDescent="0.25">
      <c r="A25" s="46"/>
      <c r="B25" s="42"/>
      <c r="C25" s="36" t="s">
        <v>51</v>
      </c>
      <c r="D25" s="68">
        <v>1628715.82</v>
      </c>
      <c r="E25" s="35" t="s">
        <v>49</v>
      </c>
      <c r="F25" s="47"/>
      <c r="H25" s="1"/>
      <c r="J25" s="187"/>
      <c r="K25" s="187"/>
      <c r="L25" s="187"/>
      <c r="M25" s="187"/>
      <c r="N25" s="187"/>
      <c r="O25" s="187"/>
      <c r="Q25" s="188"/>
      <c r="R25" s="188"/>
      <c r="S25" s="188"/>
      <c r="T25" s="188"/>
      <c r="U25" s="188"/>
      <c r="V25" s="188"/>
      <c r="W25" s="139"/>
      <c r="X25" s="189"/>
      <c r="Y25" s="189"/>
      <c r="Z25" s="189"/>
      <c r="AA25" s="189"/>
      <c r="AB25" s="189"/>
      <c r="AC25" s="189"/>
      <c r="AD25" s="139"/>
      <c r="AE25" s="189"/>
      <c r="AF25" s="189"/>
      <c r="AG25" s="189"/>
      <c r="AH25" s="189"/>
      <c r="AI25" s="189"/>
      <c r="AJ25" s="189"/>
      <c r="AK25" s="139"/>
      <c r="AL25" s="190"/>
      <c r="AM25" s="190"/>
      <c r="AN25" s="190"/>
      <c r="AO25" s="190"/>
      <c r="AP25" s="190"/>
      <c r="AQ25" s="190"/>
      <c r="AR25" s="139"/>
      <c r="AS25" s="189"/>
      <c r="AT25" s="189"/>
      <c r="AU25" s="187"/>
      <c r="AV25" s="189"/>
      <c r="AW25" s="189"/>
      <c r="AX25" s="187"/>
      <c r="AZ25" s="189"/>
      <c r="BA25" s="187"/>
      <c r="BB25" s="189"/>
      <c r="BC25" s="139"/>
      <c r="BD25" s="192"/>
      <c r="BE25" s="192"/>
      <c r="BF25" s="192"/>
      <c r="BG25" s="192"/>
    </row>
    <row r="26" spans="1:59" ht="12" customHeight="1" x14ac:dyDescent="0.25">
      <c r="A26" s="46"/>
      <c r="B26" s="42"/>
      <c r="C26" s="36" t="s">
        <v>52</v>
      </c>
      <c r="D26" s="68"/>
      <c r="E26" s="35" t="s">
        <v>49</v>
      </c>
      <c r="F26" s="47"/>
      <c r="H26" s="1"/>
      <c r="J26" s="187"/>
      <c r="K26" s="187"/>
      <c r="L26" s="187"/>
      <c r="M26" s="187"/>
      <c r="N26" s="187"/>
      <c r="O26" s="187"/>
      <c r="Q26" s="188"/>
      <c r="R26" s="188"/>
      <c r="S26" s="188"/>
      <c r="T26" s="188"/>
      <c r="U26" s="188"/>
      <c r="V26" s="188"/>
      <c r="W26" s="139"/>
      <c r="X26" s="189"/>
      <c r="Y26" s="189"/>
      <c r="Z26" s="189"/>
      <c r="AA26" s="189"/>
      <c r="AB26" s="189"/>
      <c r="AC26" s="189"/>
      <c r="AD26" s="139"/>
      <c r="AE26" s="189"/>
      <c r="AF26" s="189"/>
      <c r="AG26" s="189"/>
      <c r="AH26" s="189"/>
      <c r="AI26" s="189"/>
      <c r="AJ26" s="189"/>
      <c r="AK26" s="139"/>
      <c r="AL26" s="190"/>
      <c r="AM26" s="190"/>
      <c r="AN26" s="190"/>
      <c r="AO26" s="190"/>
      <c r="AP26" s="190"/>
      <c r="AQ26" s="190"/>
      <c r="AR26" s="139"/>
      <c r="AS26" s="189"/>
      <c r="AT26" s="189"/>
      <c r="AU26" s="187"/>
      <c r="AV26" s="189"/>
      <c r="AW26" s="189"/>
      <c r="AX26" s="187"/>
      <c r="AZ26" s="189"/>
      <c r="BA26" s="187"/>
      <c r="BB26" s="189"/>
      <c r="BC26" s="139"/>
      <c r="BD26" s="192"/>
      <c r="BE26" s="192"/>
      <c r="BF26" s="192"/>
      <c r="BG26" s="192"/>
    </row>
    <row r="27" spans="1:59" ht="12" customHeight="1" x14ac:dyDescent="0.25">
      <c r="A27" s="49"/>
      <c r="B27" s="50"/>
      <c r="C27" s="37" t="s">
        <v>53</v>
      </c>
      <c r="D27" s="194">
        <f>E27/3.5</f>
        <v>6.5714285714285712</v>
      </c>
      <c r="E27" s="62">
        <f>'DATOS DE EVALUACION'!N16</f>
        <v>23</v>
      </c>
      <c r="F27" s="52" t="s">
        <v>58</v>
      </c>
      <c r="H27" s="1"/>
      <c r="J27" s="187"/>
      <c r="K27" s="187"/>
      <c r="L27" s="187"/>
      <c r="M27" s="187"/>
      <c r="N27" s="187"/>
      <c r="O27" s="187"/>
      <c r="Q27" s="188"/>
      <c r="R27" s="188"/>
      <c r="S27" s="188"/>
      <c r="T27" s="188"/>
      <c r="U27" s="188"/>
      <c r="V27" s="188"/>
      <c r="W27" s="139"/>
      <c r="X27" s="189"/>
      <c r="Y27" s="189"/>
      <c r="Z27" s="189"/>
      <c r="AA27" s="189"/>
      <c r="AB27" s="189"/>
      <c r="AC27" s="189"/>
      <c r="AD27" s="139"/>
      <c r="AE27" s="189"/>
      <c r="AF27" s="189"/>
      <c r="AG27" s="189"/>
      <c r="AH27" s="189"/>
      <c r="AI27" s="189"/>
      <c r="AJ27" s="189"/>
      <c r="AK27" s="139"/>
      <c r="AL27" s="190"/>
      <c r="AM27" s="190"/>
      <c r="AN27" s="190"/>
      <c r="AO27" s="190"/>
      <c r="AP27" s="190"/>
      <c r="AQ27" s="190"/>
      <c r="AR27" s="139"/>
      <c r="AS27" s="189"/>
      <c r="AT27" s="189"/>
      <c r="AU27" s="187"/>
      <c r="AV27" s="189"/>
      <c r="AW27" s="189"/>
      <c r="AX27" s="187"/>
      <c r="AZ27" s="189"/>
      <c r="BA27" s="187"/>
      <c r="BB27" s="187"/>
      <c r="BC27" s="139"/>
      <c r="BD27" s="192"/>
      <c r="BE27" s="192"/>
      <c r="BF27" s="192"/>
      <c r="BG27" s="192"/>
    </row>
    <row r="28" spans="1:59" ht="12" customHeight="1" x14ac:dyDescent="0.25">
      <c r="A28" s="81" t="s">
        <v>65</v>
      </c>
      <c r="B28" s="82" t="s">
        <v>66</v>
      </c>
      <c r="H28" s="1"/>
      <c r="J28" s="187"/>
      <c r="K28" s="187"/>
      <c r="L28" s="187"/>
      <c r="M28" s="187"/>
      <c r="N28" s="187"/>
      <c r="O28" s="187"/>
      <c r="Q28" s="188"/>
      <c r="R28" s="188"/>
      <c r="S28" s="188"/>
      <c r="T28" s="188"/>
      <c r="U28" s="188"/>
      <c r="V28" s="188"/>
      <c r="W28" s="139"/>
      <c r="X28" s="189"/>
      <c r="Y28" s="189"/>
      <c r="Z28" s="189"/>
      <c r="AA28" s="189"/>
      <c r="AB28" s="189"/>
      <c r="AC28" s="189"/>
      <c r="AD28" s="139"/>
      <c r="AE28" s="189"/>
      <c r="AF28" s="189"/>
      <c r="AG28" s="189"/>
      <c r="AH28" s="189"/>
      <c r="AI28" s="189"/>
      <c r="AJ28" s="189"/>
      <c r="AK28" s="139"/>
      <c r="AL28" s="190"/>
      <c r="AM28" s="190"/>
      <c r="AN28" s="190"/>
      <c r="AO28" s="190"/>
      <c r="AP28" s="190"/>
      <c r="AQ28" s="190"/>
      <c r="AR28" s="139"/>
      <c r="AS28" s="189"/>
      <c r="AT28" s="189"/>
      <c r="AU28" s="187"/>
      <c r="AV28" s="189"/>
      <c r="AW28" s="189"/>
      <c r="AX28" s="187"/>
      <c r="AZ28" s="189"/>
      <c r="BA28" s="189"/>
      <c r="BB28" s="187"/>
      <c r="BC28" s="139"/>
      <c r="BD28" s="192"/>
      <c r="BE28" s="192"/>
      <c r="BF28" s="192"/>
      <c r="BG28" s="192"/>
    </row>
    <row r="29" spans="1:59" ht="12" customHeight="1" x14ac:dyDescent="0.25">
      <c r="A29" s="84" t="s">
        <v>70</v>
      </c>
      <c r="B29" s="82" t="s">
        <v>71</v>
      </c>
      <c r="H29" s="1"/>
      <c r="J29" s="187"/>
      <c r="K29" s="187"/>
      <c r="L29" s="187"/>
      <c r="M29" s="187"/>
      <c r="N29" s="187"/>
      <c r="O29" s="187"/>
      <c r="Q29" s="188"/>
      <c r="R29" s="188"/>
      <c r="S29" s="188"/>
      <c r="T29" s="188"/>
      <c r="U29" s="188"/>
      <c r="V29" s="188"/>
      <c r="W29" s="139"/>
      <c r="X29" s="189"/>
      <c r="Y29" s="189"/>
      <c r="Z29" s="189"/>
      <c r="AA29" s="189"/>
      <c r="AB29" s="189"/>
      <c r="AC29" s="189"/>
      <c r="AD29" s="139"/>
      <c r="AE29" s="189"/>
      <c r="AF29" s="189"/>
      <c r="AG29" s="189"/>
      <c r="AH29" s="189"/>
      <c r="AI29" s="189"/>
      <c r="AJ29" s="189"/>
      <c r="AK29" s="139"/>
      <c r="AL29" s="190"/>
      <c r="AM29" s="190"/>
      <c r="AN29" s="190"/>
      <c r="AO29" s="190"/>
      <c r="AP29" s="190"/>
      <c r="AQ29" s="190"/>
      <c r="AR29" s="139"/>
      <c r="AS29" s="189"/>
      <c r="AT29" s="189"/>
      <c r="AU29" s="187"/>
      <c r="AV29" s="189"/>
      <c r="AW29" s="189"/>
      <c r="AX29" s="187"/>
      <c r="AZ29" s="189"/>
      <c r="BA29" s="187"/>
      <c r="BB29" s="187"/>
      <c r="BC29" s="139"/>
      <c r="BD29" s="192"/>
      <c r="BE29" s="192"/>
      <c r="BF29" s="192"/>
      <c r="BG29" s="192"/>
    </row>
    <row r="30" spans="1:59" ht="12" customHeight="1" x14ac:dyDescent="0.25">
      <c r="H30" s="1"/>
      <c r="J30" s="187"/>
      <c r="K30" s="187"/>
      <c r="L30" s="187"/>
      <c r="M30" s="187"/>
      <c r="N30" s="187"/>
      <c r="O30" s="187"/>
      <c r="Q30" s="188"/>
      <c r="R30" s="188"/>
      <c r="S30" s="188"/>
      <c r="T30" s="188"/>
      <c r="U30" s="188"/>
      <c r="V30" s="188"/>
      <c r="W30" s="139"/>
      <c r="X30" s="189"/>
      <c r="Y30" s="189"/>
      <c r="Z30" s="189"/>
      <c r="AA30" s="189"/>
      <c r="AB30" s="189"/>
      <c r="AC30" s="189"/>
      <c r="AD30" s="139"/>
      <c r="AE30" s="189"/>
      <c r="AF30" s="189"/>
      <c r="AG30" s="189"/>
      <c r="AH30" s="189"/>
      <c r="AI30" s="189"/>
      <c r="AJ30" s="189"/>
      <c r="AK30" s="139"/>
      <c r="AL30" s="190"/>
      <c r="AM30" s="190"/>
      <c r="AN30" s="190"/>
      <c r="AO30" s="190"/>
      <c r="AP30" s="190"/>
      <c r="AQ30" s="190"/>
      <c r="AR30" s="139"/>
      <c r="AS30" s="189"/>
      <c r="AT30" s="189"/>
      <c r="AU30" s="187"/>
      <c r="AV30" s="189"/>
      <c r="AW30" s="189"/>
      <c r="AX30" s="187"/>
      <c r="AZ30" s="189"/>
      <c r="BA30" s="189"/>
      <c r="BB30" s="187"/>
      <c r="BC30" s="139"/>
      <c r="BD30" s="192"/>
      <c r="BE30" s="192"/>
      <c r="BF30" s="192"/>
      <c r="BG30" s="192"/>
    </row>
    <row r="31" spans="1:59" ht="12" customHeight="1" x14ac:dyDescent="0.25">
      <c r="D31" s="385" t="s">
        <v>54</v>
      </c>
      <c r="E31" s="385"/>
      <c r="F31" s="385"/>
      <c r="H31" s="1"/>
      <c r="J31" s="187"/>
      <c r="K31" s="187"/>
      <c r="L31" s="187"/>
      <c r="M31" s="187"/>
      <c r="N31" s="187"/>
      <c r="O31" s="187"/>
      <c r="Q31" s="188"/>
      <c r="R31" s="188"/>
      <c r="S31" s="188"/>
      <c r="T31" s="188"/>
      <c r="U31" s="188"/>
      <c r="V31" s="188"/>
      <c r="W31" s="139"/>
      <c r="X31" s="189"/>
      <c r="Y31" s="189"/>
      <c r="Z31" s="189"/>
      <c r="AA31" s="189"/>
      <c r="AB31" s="189"/>
      <c r="AC31" s="189"/>
      <c r="AD31" s="139"/>
      <c r="AE31" s="189"/>
      <c r="AF31" s="189"/>
      <c r="AG31" s="189"/>
      <c r="AH31" s="189"/>
      <c r="AI31" s="189"/>
      <c r="AJ31" s="189"/>
      <c r="AK31" s="139"/>
      <c r="AL31" s="190"/>
      <c r="AM31" s="190"/>
      <c r="AN31" s="190"/>
      <c r="AO31" s="190"/>
      <c r="AP31" s="190"/>
      <c r="AQ31" s="190"/>
      <c r="AR31" s="139"/>
      <c r="AS31" s="189"/>
      <c r="AT31" s="189"/>
      <c r="AU31" s="187"/>
      <c r="AV31" s="189"/>
      <c r="AW31" s="189"/>
      <c r="AX31" s="187"/>
      <c r="AZ31" s="189"/>
      <c r="BA31" s="187"/>
      <c r="BB31" s="187"/>
      <c r="BC31" s="139"/>
      <c r="BD31" s="192"/>
      <c r="BE31" s="192"/>
      <c r="BF31" s="192"/>
      <c r="BG31" s="192"/>
    </row>
    <row r="32" spans="1:59" ht="12" customHeight="1" x14ac:dyDescent="0.25">
      <c r="H32" s="1"/>
      <c r="J32" s="187"/>
      <c r="K32" s="187"/>
      <c r="L32" s="187"/>
      <c r="M32" s="187"/>
      <c r="N32" s="187"/>
      <c r="O32" s="187"/>
      <c r="Q32" s="188"/>
      <c r="R32" s="188"/>
      <c r="S32" s="188"/>
      <c r="T32" s="188"/>
      <c r="U32" s="188"/>
      <c r="V32" s="188"/>
      <c r="W32" s="139"/>
      <c r="X32" s="189"/>
      <c r="Y32" s="189"/>
      <c r="Z32" s="189"/>
      <c r="AA32" s="189"/>
      <c r="AB32" s="189"/>
      <c r="AC32" s="189"/>
      <c r="AD32" s="139"/>
      <c r="AE32" s="189"/>
      <c r="AF32" s="189"/>
      <c r="AG32" s="189"/>
      <c r="AH32" s="189"/>
      <c r="AI32" s="189"/>
      <c r="AJ32" s="189"/>
      <c r="AK32" s="139"/>
      <c r="AL32" s="190"/>
      <c r="AM32" s="190"/>
      <c r="AN32" s="190"/>
      <c r="AO32" s="190"/>
      <c r="AP32" s="190"/>
      <c r="AQ32" s="190"/>
      <c r="AR32" s="139"/>
      <c r="AS32" s="189"/>
      <c r="AT32" s="189"/>
      <c r="AU32" s="187"/>
      <c r="AV32" s="189"/>
      <c r="AW32" s="189"/>
      <c r="AX32" s="187"/>
      <c r="AZ32" s="189"/>
      <c r="BA32" s="187"/>
      <c r="BB32" s="189"/>
      <c r="BC32" s="139"/>
      <c r="BD32" s="192"/>
      <c r="BE32" s="192"/>
      <c r="BF32" s="192"/>
      <c r="BG32" s="192"/>
    </row>
    <row r="33" spans="8:59" ht="12" customHeight="1" x14ac:dyDescent="0.25">
      <c r="H33" s="1"/>
      <c r="J33" s="187"/>
      <c r="K33" s="187"/>
      <c r="L33" s="187"/>
      <c r="M33" s="187"/>
      <c r="N33" s="187"/>
      <c r="O33" s="187"/>
      <c r="Q33" s="188"/>
      <c r="R33" s="188"/>
      <c r="S33" s="188"/>
      <c r="T33" s="188"/>
      <c r="U33" s="188"/>
      <c r="V33" s="188"/>
      <c r="W33" s="139"/>
      <c r="X33" s="189"/>
      <c r="Y33" s="189"/>
      <c r="Z33" s="189"/>
      <c r="AA33" s="189"/>
      <c r="AB33" s="189"/>
      <c r="AC33" s="189"/>
      <c r="AD33" s="139"/>
      <c r="AE33" s="189"/>
      <c r="AF33" s="189"/>
      <c r="AG33" s="189"/>
      <c r="AH33" s="189"/>
      <c r="AI33" s="189"/>
      <c r="AJ33" s="189"/>
      <c r="AK33" s="139"/>
      <c r="AL33" s="190"/>
      <c r="AM33" s="190"/>
      <c r="AN33" s="190"/>
      <c r="AO33" s="190"/>
      <c r="AP33" s="190"/>
      <c r="AQ33" s="190"/>
      <c r="AR33" s="139"/>
      <c r="AS33" s="189"/>
      <c r="AT33" s="189"/>
      <c r="AU33" s="187"/>
      <c r="AV33" s="189"/>
      <c r="AW33" s="189"/>
      <c r="AX33" s="187"/>
      <c r="AZ33" s="189"/>
      <c r="BA33" s="187"/>
      <c r="BB33" s="187"/>
      <c r="BC33" s="139"/>
      <c r="BD33" s="192"/>
      <c r="BE33" s="192"/>
      <c r="BF33" s="192"/>
      <c r="BG33" s="192"/>
    </row>
    <row r="34" spans="8:59" ht="12" customHeight="1" x14ac:dyDescent="0.25">
      <c r="H34" s="1"/>
      <c r="J34" s="187"/>
      <c r="K34" s="187"/>
      <c r="L34" s="187"/>
      <c r="M34" s="187"/>
      <c r="N34" s="187"/>
      <c r="O34" s="187"/>
      <c r="Q34" s="188"/>
      <c r="R34" s="188"/>
      <c r="S34" s="188"/>
      <c r="T34" s="188"/>
      <c r="U34" s="188"/>
      <c r="V34" s="188"/>
      <c r="W34" s="139"/>
      <c r="X34" s="189"/>
      <c r="Y34" s="189"/>
      <c r="Z34" s="189"/>
      <c r="AA34" s="189"/>
      <c r="AB34" s="189"/>
      <c r="AC34" s="189"/>
      <c r="AD34" s="139"/>
      <c r="AE34" s="189"/>
      <c r="AF34" s="189"/>
      <c r="AG34" s="189"/>
      <c r="AH34" s="189"/>
      <c r="AI34" s="189"/>
      <c r="AJ34" s="189"/>
      <c r="AK34" s="139"/>
      <c r="AL34" s="190"/>
      <c r="AM34" s="190"/>
      <c r="AN34" s="190"/>
      <c r="AO34" s="190"/>
      <c r="AP34" s="190"/>
      <c r="AQ34" s="190"/>
      <c r="AR34" s="139"/>
      <c r="AS34" s="189"/>
      <c r="AT34" s="189"/>
      <c r="AU34" s="187"/>
      <c r="AV34" s="189"/>
      <c r="AW34" s="189"/>
      <c r="AX34" s="187"/>
      <c r="AZ34" s="189"/>
      <c r="BA34" s="187"/>
      <c r="BB34" s="189"/>
      <c r="BC34" s="139"/>
      <c r="BD34" s="192"/>
      <c r="BE34" s="192"/>
      <c r="BF34" s="192"/>
      <c r="BG34" s="192"/>
    </row>
    <row r="35" spans="8:59" ht="12" customHeight="1" x14ac:dyDescent="0.25">
      <c r="H35" s="1"/>
      <c r="J35" s="187"/>
      <c r="K35" s="187"/>
      <c r="L35" s="187"/>
      <c r="M35" s="187"/>
      <c r="N35" s="187"/>
      <c r="O35" s="187"/>
      <c r="Q35" s="188"/>
      <c r="R35" s="188"/>
      <c r="S35" s="188"/>
      <c r="T35" s="188"/>
      <c r="U35" s="188"/>
      <c r="V35" s="188"/>
      <c r="W35" s="139"/>
      <c r="X35" s="189"/>
      <c r="Y35" s="189"/>
      <c r="Z35" s="189"/>
      <c r="AA35" s="189"/>
      <c r="AB35" s="189"/>
      <c r="AC35" s="189"/>
      <c r="AD35" s="139"/>
      <c r="AE35" s="189"/>
      <c r="AF35" s="189"/>
      <c r="AG35" s="189"/>
      <c r="AH35" s="189"/>
      <c r="AI35" s="189"/>
      <c r="AJ35" s="189"/>
      <c r="AK35" s="139"/>
      <c r="AL35" s="190"/>
      <c r="AM35" s="190"/>
      <c r="AN35" s="190"/>
      <c r="AO35" s="190"/>
      <c r="AP35" s="190"/>
      <c r="AQ35" s="190"/>
      <c r="AR35" s="139"/>
      <c r="AS35" s="189"/>
      <c r="AT35" s="189"/>
      <c r="AU35" s="187"/>
      <c r="AV35" s="189"/>
      <c r="AW35" s="189"/>
      <c r="AX35" s="187"/>
      <c r="AZ35" s="189"/>
      <c r="BA35" s="187"/>
      <c r="BB35" s="187"/>
      <c r="BC35" s="139"/>
      <c r="BD35" s="192"/>
      <c r="BE35" s="192"/>
      <c r="BF35" s="192"/>
      <c r="BG35" s="192"/>
    </row>
    <row r="36" spans="8:59" ht="12" customHeight="1" x14ac:dyDescent="0.25">
      <c r="H36" s="1"/>
      <c r="J36" s="187"/>
      <c r="K36" s="187"/>
      <c r="L36" s="187"/>
      <c r="M36" s="187"/>
      <c r="N36" s="187"/>
      <c r="O36" s="187"/>
      <c r="Q36" s="188"/>
      <c r="R36" s="188"/>
      <c r="S36" s="188"/>
      <c r="T36" s="188"/>
      <c r="U36" s="188"/>
      <c r="V36" s="188"/>
      <c r="W36" s="139"/>
      <c r="X36" s="189"/>
      <c r="Y36" s="189"/>
      <c r="Z36" s="189"/>
      <c r="AA36" s="189"/>
      <c r="AB36" s="189"/>
      <c r="AC36" s="189"/>
      <c r="AD36" s="139"/>
      <c r="AE36" s="189"/>
      <c r="AF36" s="189"/>
      <c r="AG36" s="189"/>
      <c r="AH36" s="189"/>
      <c r="AI36" s="189"/>
      <c r="AJ36" s="189"/>
      <c r="AK36" s="139"/>
      <c r="AL36" s="190"/>
      <c r="AM36" s="190"/>
      <c r="AN36" s="190"/>
      <c r="AO36" s="190"/>
      <c r="AP36" s="190"/>
      <c r="AQ36" s="190"/>
      <c r="AR36" s="139"/>
      <c r="AS36" s="189"/>
      <c r="AT36" s="189"/>
      <c r="AU36" s="187"/>
      <c r="AV36" s="189"/>
      <c r="AW36" s="189"/>
      <c r="AX36" s="187"/>
      <c r="AZ36" s="189"/>
      <c r="BA36" s="189"/>
      <c r="BB36" s="187"/>
      <c r="BC36" s="139"/>
      <c r="BD36" s="192"/>
      <c r="BE36" s="192"/>
      <c r="BF36" s="192"/>
      <c r="BG36" s="192"/>
    </row>
    <row r="37" spans="8:59" x14ac:dyDescent="0.25">
      <c r="J37" s="139"/>
      <c r="K37" s="187"/>
      <c r="L37" s="139"/>
      <c r="M37" s="139"/>
      <c r="N37" s="139"/>
      <c r="O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BF37" s="203" t="s">
        <v>123</v>
      </c>
      <c r="BG37" s="204">
        <f>BG6+NPV($D$21,BG7:BG36)</f>
        <v>79262.857823591243</v>
      </c>
    </row>
    <row r="38" spans="8:59" x14ac:dyDescent="0.25">
      <c r="K38" s="187"/>
      <c r="AZ38" s="22"/>
      <c r="BA38" s="22"/>
      <c r="BB38" s="22"/>
    </row>
    <row r="39" spans="8:59" x14ac:dyDescent="0.25">
      <c r="K39" s="187"/>
      <c r="BB39" s="22"/>
    </row>
    <row r="40" spans="8:59" hidden="1" x14ac:dyDescent="0.25">
      <c r="H40" s="379" t="s">
        <v>59</v>
      </c>
      <c r="I40" s="130"/>
      <c r="J40" s="381" t="s">
        <v>120</v>
      </c>
      <c r="K40" s="381"/>
      <c r="L40" s="381"/>
      <c r="M40" s="381"/>
      <c r="N40" s="381"/>
      <c r="O40" s="290">
        <f>SENSIBILIDAD!P20</f>
        <v>0</v>
      </c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381" t="s">
        <v>120</v>
      </c>
      <c r="AF40" s="381"/>
      <c r="AG40" s="381"/>
      <c r="AH40" s="381"/>
      <c r="AI40" s="381"/>
      <c r="AJ40" s="381"/>
      <c r="AK40" s="130"/>
      <c r="AL40" s="162"/>
      <c r="AM40" s="162"/>
      <c r="AN40" s="162"/>
      <c r="AO40" s="162"/>
      <c r="AP40" s="162"/>
      <c r="AQ40" s="162"/>
      <c r="AR40" s="130"/>
      <c r="AS40" s="381" t="s">
        <v>120</v>
      </c>
      <c r="AT40" s="381"/>
      <c r="AU40" s="381"/>
      <c r="AV40" s="381"/>
      <c r="AW40" s="381"/>
      <c r="AX40" s="381"/>
      <c r="AY40" s="130"/>
      <c r="AZ40" s="130"/>
      <c r="BA40" s="130"/>
      <c r="BB40" s="130"/>
      <c r="BC40" s="130"/>
      <c r="BD40" s="382" t="s">
        <v>121</v>
      </c>
      <c r="BE40" s="382"/>
      <c r="BF40" s="382"/>
      <c r="BG40" s="382"/>
    </row>
    <row r="41" spans="8:59" hidden="1" x14ac:dyDescent="0.25">
      <c r="H41" s="379"/>
      <c r="I41" s="130"/>
      <c r="J41" s="383" t="s">
        <v>158</v>
      </c>
      <c r="K41" s="383"/>
      <c r="L41" s="383"/>
      <c r="M41" s="384" t="s">
        <v>157</v>
      </c>
      <c r="N41" s="383"/>
      <c r="O41" s="383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383" t="s">
        <v>158</v>
      </c>
      <c r="AF41" s="383"/>
      <c r="AG41" s="383"/>
      <c r="AH41" s="384" t="s">
        <v>157</v>
      </c>
      <c r="AI41" s="383"/>
      <c r="AJ41" s="383"/>
      <c r="AK41" s="130"/>
      <c r="AL41" s="163"/>
      <c r="AM41" s="163"/>
      <c r="AN41" s="163"/>
      <c r="AO41" s="163"/>
      <c r="AP41" s="163"/>
      <c r="AQ41" s="163"/>
      <c r="AR41" s="130"/>
      <c r="AS41" s="383" t="s">
        <v>158</v>
      </c>
      <c r="AT41" s="383"/>
      <c r="AU41" s="383"/>
      <c r="AV41" s="384" t="s">
        <v>157</v>
      </c>
      <c r="AW41" s="383"/>
      <c r="AX41" s="383"/>
      <c r="AY41" s="130"/>
      <c r="AZ41" s="130"/>
      <c r="BA41" s="130"/>
      <c r="BB41" s="130"/>
      <c r="BC41" s="130"/>
      <c r="BD41" s="382"/>
      <c r="BE41" s="382"/>
      <c r="BF41" s="382"/>
      <c r="BG41" s="382"/>
    </row>
    <row r="42" spans="8:59" ht="15.75" hidden="1" thickBot="1" x14ac:dyDescent="0.3">
      <c r="H42" s="380"/>
      <c r="I42" s="130"/>
      <c r="J42" s="195" t="s">
        <v>21</v>
      </c>
      <c r="K42" s="196" t="s">
        <v>60</v>
      </c>
      <c r="L42" s="291" t="s">
        <v>19</v>
      </c>
      <c r="M42" s="292" t="s">
        <v>21</v>
      </c>
      <c r="N42" s="196" t="s">
        <v>60</v>
      </c>
      <c r="O42" s="197" t="s">
        <v>19</v>
      </c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95" t="s">
        <v>21</v>
      </c>
      <c r="AF42" s="196" t="s">
        <v>60</v>
      </c>
      <c r="AG42" s="291" t="s">
        <v>19</v>
      </c>
      <c r="AH42" s="292" t="s">
        <v>21</v>
      </c>
      <c r="AI42" s="196" t="s">
        <v>60</v>
      </c>
      <c r="AJ42" s="197" t="s">
        <v>19</v>
      </c>
      <c r="AK42" s="130"/>
      <c r="AL42" s="159"/>
      <c r="AM42" s="159"/>
      <c r="AN42" s="159"/>
      <c r="AO42" s="159"/>
      <c r="AP42" s="159"/>
      <c r="AQ42" s="159"/>
      <c r="AR42" s="130"/>
      <c r="AS42" s="195" t="s">
        <v>21</v>
      </c>
      <c r="AT42" s="196" t="s">
        <v>60</v>
      </c>
      <c r="AU42" s="291" t="s">
        <v>19</v>
      </c>
      <c r="AV42" s="292" t="s">
        <v>21</v>
      </c>
      <c r="AW42" s="196" t="s">
        <v>60</v>
      </c>
      <c r="AX42" s="197" t="s">
        <v>19</v>
      </c>
      <c r="AY42" s="130"/>
      <c r="AZ42" s="130"/>
      <c r="BA42" s="130"/>
      <c r="BB42" s="130"/>
      <c r="BC42" s="130"/>
      <c r="BD42" s="201" t="s">
        <v>75</v>
      </c>
      <c r="BE42" s="202" t="s">
        <v>76</v>
      </c>
      <c r="BF42" s="202" t="s">
        <v>77</v>
      </c>
      <c r="BG42" s="201" t="s">
        <v>78</v>
      </c>
    </row>
    <row r="43" spans="8:59" ht="15.75" hidden="1" thickTop="1" x14ac:dyDescent="0.25">
      <c r="H43" s="80">
        <v>-1</v>
      </c>
      <c r="I43" s="130"/>
      <c r="J43" s="75">
        <f t="shared" ref="J43:O43" si="18">J6*(1+$O$40)</f>
        <v>329.49700000000001</v>
      </c>
      <c r="K43" s="76">
        <f t="shared" si="18"/>
        <v>1.4419999999999999</v>
      </c>
      <c r="L43" s="77">
        <f t="shared" si="18"/>
        <v>14.42</v>
      </c>
      <c r="M43" s="78">
        <f t="shared" si="18"/>
        <v>341.75400000000002</v>
      </c>
      <c r="N43" s="76">
        <f t="shared" si="18"/>
        <v>1.4419999999999999</v>
      </c>
      <c r="O43" s="79">
        <f t="shared" si="18"/>
        <v>15.861999999999998</v>
      </c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85">
        <f t="shared" ref="AE43:AE58" si="19">X6*J43*$D$4/1000</f>
        <v>6.9026130808782007</v>
      </c>
      <c r="AF43" s="90">
        <f t="shared" ref="AF43:AF58" si="20">Y6*K43*$D$4/1000</f>
        <v>6.8952782222799991E-2</v>
      </c>
      <c r="AG43" s="91">
        <f t="shared" ref="AG43:AG58" si="21">Z6*L43*$D$4/1000</f>
        <v>0.56940992880800001</v>
      </c>
      <c r="AH43" s="92">
        <f t="shared" ref="AH43:AH58" si="22">AA6*M43*$D$4/1000</f>
        <v>7.1593842458124008</v>
      </c>
      <c r="AI43" s="90">
        <f t="shared" ref="AI43:AI58" si="23">AB6*N43*$D$4/1000</f>
        <v>6.8952782222799991E-2</v>
      </c>
      <c r="AJ43" s="93">
        <f t="shared" ref="AJ43:AJ58" si="24">AC6*O43*$D$4/1000</f>
        <v>0.62635092168880002</v>
      </c>
      <c r="AK43" s="130"/>
      <c r="AL43" s="160"/>
      <c r="AM43" s="160"/>
      <c r="AN43" s="160"/>
      <c r="AO43" s="160"/>
      <c r="AP43" s="160"/>
      <c r="AQ43" s="160"/>
      <c r="AR43" s="130"/>
      <c r="AS43" s="85">
        <f t="shared" ref="AS43:AS58" si="25">(AL6*J43*($D$14*$D$17))/1000</f>
        <v>0.73362163137506253</v>
      </c>
      <c r="AT43" s="90">
        <f t="shared" ref="AT43:AT58" si="26">(AM6*K43*($D$14*$D$18))/1000</f>
        <v>4.2196430188499993E-2</v>
      </c>
      <c r="AU43" s="91">
        <f t="shared" ref="AU43:AU58" si="27">(AN6*L43*($D$14*0))/1000</f>
        <v>0</v>
      </c>
      <c r="AV43" s="92">
        <f t="shared" ref="AV43:AV58" si="28">(AO6*M43*($D$14*$D$17))/1000</f>
        <v>0.76091171394262502</v>
      </c>
      <c r="AW43" s="90">
        <f t="shared" ref="AW43:AW58" si="29">(AP6*N43*($D$14*$D$18))/1000</f>
        <v>4.2196430188499993E-2</v>
      </c>
      <c r="AX43" s="93">
        <f t="shared" ref="AX43:AX58" si="30">(AQ6*O43*($D$14*0))/1000</f>
        <v>0</v>
      </c>
      <c r="AY43" s="130"/>
      <c r="AZ43" s="130"/>
      <c r="BA43" s="130"/>
      <c r="BB43" s="130"/>
      <c r="BC43" s="130"/>
      <c r="BD43" s="96">
        <f>(AE43+AF43+AG43+AH43+AI43+AJ43)*365</f>
        <v>5619.4172656960454</v>
      </c>
      <c r="BE43" s="97">
        <f>(AS43+AT43+AU43+AV43+AW43+AX43)*365</f>
        <v>576.30806507856096</v>
      </c>
      <c r="BF43" s="97">
        <f>AZ6+BA6+BB6</f>
        <v>0</v>
      </c>
      <c r="BG43" s="96">
        <f>SUM(BD43:BF43)</f>
        <v>6195.7253307746068</v>
      </c>
    </row>
    <row r="44" spans="8:59" hidden="1" x14ac:dyDescent="0.25">
      <c r="H44" s="1">
        <v>0</v>
      </c>
      <c r="I44" s="130"/>
      <c r="J44" s="71">
        <f>J43*(1+$D$11)</f>
        <v>339.38191</v>
      </c>
      <c r="K44" s="72">
        <f t="shared" ref="K44:O44" si="31">K43*(1+$D$11)</f>
        <v>1.48526</v>
      </c>
      <c r="L44" s="73">
        <f t="shared" si="31"/>
        <v>14.852600000000001</v>
      </c>
      <c r="M44" s="74">
        <f t="shared" si="31"/>
        <v>352.00662000000005</v>
      </c>
      <c r="N44" s="72">
        <f t="shared" si="31"/>
        <v>1.48526</v>
      </c>
      <c r="O44" s="71">
        <f t="shared" si="31"/>
        <v>16.337859999999999</v>
      </c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86">
        <f t="shared" si="19"/>
        <v>7.1578112125485704</v>
      </c>
      <c r="AF44" s="87">
        <f t="shared" si="20"/>
        <v>7.1258279066505989E-2</v>
      </c>
      <c r="AG44" s="88">
        <f t="shared" si="21"/>
        <v>0.5878084121001399</v>
      </c>
      <c r="AH44" s="89">
        <f t="shared" si="22"/>
        <v>7.4240755246127419</v>
      </c>
      <c r="AI44" s="87">
        <f t="shared" si="23"/>
        <v>7.1258279066505989E-2</v>
      </c>
      <c r="AJ44" s="86">
        <f t="shared" si="24"/>
        <v>0.64658925331015393</v>
      </c>
      <c r="AK44" s="130"/>
      <c r="AL44" s="161"/>
      <c r="AM44" s="161"/>
      <c r="AN44" s="161"/>
      <c r="AO44" s="161"/>
      <c r="AP44" s="161"/>
      <c r="AQ44" s="161"/>
      <c r="AR44" s="130"/>
      <c r="AS44" s="86">
        <f t="shared" si="25"/>
        <v>0.77829918872580395</v>
      </c>
      <c r="AT44" s="87">
        <f t="shared" si="26"/>
        <v>4.4766192786979651E-2</v>
      </c>
      <c r="AU44" s="88">
        <f t="shared" si="27"/>
        <v>0</v>
      </c>
      <c r="AV44" s="89">
        <f t="shared" si="28"/>
        <v>0.80725123732173087</v>
      </c>
      <c r="AW44" s="87">
        <f t="shared" si="29"/>
        <v>4.4766192786979651E-2</v>
      </c>
      <c r="AX44" s="86">
        <f t="shared" si="30"/>
        <v>0</v>
      </c>
      <c r="AY44" s="130"/>
      <c r="AZ44" s="130"/>
      <c r="BA44" s="130"/>
      <c r="BB44" s="130"/>
      <c r="BC44" s="130"/>
      <c r="BD44" s="98">
        <f t="shared" ref="BD44:BD58" si="32">(AE44+AF44+AG44+AH44+AI44+AJ44)*365</f>
        <v>5824.9623506571852</v>
      </c>
      <c r="BE44" s="99">
        <f t="shared" ref="BE44:BE58" si="33">(AS44+AT44+AU44+AV44+AW44+AX44)*365</f>
        <v>611.4052262418453</v>
      </c>
      <c r="BF44" s="99">
        <f>AZ7+BA7+BB7</f>
        <v>387.083480259</v>
      </c>
      <c r="BG44" s="98">
        <f>SUM(BD44:BF44)</f>
        <v>6823.4510571580304</v>
      </c>
    </row>
    <row r="45" spans="8:59" hidden="1" x14ac:dyDescent="0.25">
      <c r="H45" s="1">
        <v>1</v>
      </c>
      <c r="I45" s="130"/>
      <c r="J45" s="71">
        <f t="shared" ref="J45:O58" si="34">J44*(1+$D$11)</f>
        <v>349.56336730000004</v>
      </c>
      <c r="K45" s="72">
        <f t="shared" si="34"/>
        <v>1.5298178</v>
      </c>
      <c r="L45" s="73">
        <f t="shared" si="34"/>
        <v>15.298178000000002</v>
      </c>
      <c r="M45" s="74">
        <f t="shared" si="34"/>
        <v>362.56681860000009</v>
      </c>
      <c r="N45" s="72">
        <f t="shared" si="34"/>
        <v>1.5298178</v>
      </c>
      <c r="O45" s="71">
        <f t="shared" si="34"/>
        <v>16.8279958</v>
      </c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86">
        <f t="shared" si="19"/>
        <v>7.453085962484713</v>
      </c>
      <c r="AF45" s="87">
        <f t="shared" si="20"/>
        <v>7.3640048216833828E-2</v>
      </c>
      <c r="AG45" s="88">
        <f t="shared" si="21"/>
        <v>0.60761173804832347</v>
      </c>
      <c r="AH45" s="89">
        <f t="shared" si="22"/>
        <v>7.7303342368003376</v>
      </c>
      <c r="AI45" s="87">
        <f t="shared" si="23"/>
        <v>7.3640048216833828E-2</v>
      </c>
      <c r="AJ45" s="86">
        <f t="shared" si="24"/>
        <v>0.66837291185315562</v>
      </c>
      <c r="AK45" s="130"/>
      <c r="AL45" s="161"/>
      <c r="AM45" s="161"/>
      <c r="AN45" s="161"/>
      <c r="AO45" s="161"/>
      <c r="AP45" s="161"/>
      <c r="AQ45" s="161"/>
      <c r="AR45" s="130"/>
      <c r="AS45" s="86">
        <f t="shared" si="25"/>
        <v>0.82569760931920555</v>
      </c>
      <c r="AT45" s="87">
        <f t="shared" si="26"/>
        <v>4.7492453927706707E-2</v>
      </c>
      <c r="AU45" s="88">
        <f t="shared" si="27"/>
        <v>0</v>
      </c>
      <c r="AV45" s="89">
        <f t="shared" si="28"/>
        <v>0.85641283767462473</v>
      </c>
      <c r="AW45" s="87">
        <f t="shared" si="29"/>
        <v>4.7492453927706721E-2</v>
      </c>
      <c r="AX45" s="86">
        <f t="shared" si="30"/>
        <v>0</v>
      </c>
      <c r="AY45" s="130"/>
      <c r="AZ45" s="130"/>
      <c r="BA45" s="130"/>
      <c r="BB45" s="130"/>
      <c r="BC45" s="130"/>
      <c r="BD45" s="98">
        <f t="shared" si="32"/>
        <v>6061.4400051513721</v>
      </c>
      <c r="BE45" s="99">
        <f t="shared" si="33"/>
        <v>648.63980451997395</v>
      </c>
      <c r="BF45" s="99">
        <f t="shared" ref="BF45:BF58" si="35">AZ8+BA8+BB8</f>
        <v>387.083480259</v>
      </c>
      <c r="BG45" s="98">
        <f t="shared" ref="BG45:BG58" si="36">SUM(BD45:BF45)</f>
        <v>7097.1632899303459</v>
      </c>
    </row>
    <row r="46" spans="8:59" hidden="1" x14ac:dyDescent="0.25">
      <c r="H46" s="1">
        <v>2</v>
      </c>
      <c r="I46" s="130"/>
      <c r="J46" s="71">
        <f t="shared" si="34"/>
        <v>360.05026831900005</v>
      </c>
      <c r="K46" s="72">
        <f t="shared" si="34"/>
        <v>1.5757123340000001</v>
      </c>
      <c r="L46" s="73">
        <f t="shared" si="34"/>
        <v>15.757123340000001</v>
      </c>
      <c r="M46" s="74">
        <f t="shared" si="34"/>
        <v>373.4438231580001</v>
      </c>
      <c r="N46" s="72">
        <f t="shared" si="34"/>
        <v>1.5757123340000001</v>
      </c>
      <c r="O46" s="71">
        <f t="shared" si="34"/>
        <v>17.332835674000002</v>
      </c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86">
        <f t="shared" si="19"/>
        <v>7.740491330564236</v>
      </c>
      <c r="AF46" s="87">
        <f t="shared" si="20"/>
        <v>7.6156444709839857E-2</v>
      </c>
      <c r="AG46" s="88">
        <f t="shared" si="21"/>
        <v>0.62835350420659952</v>
      </c>
      <c r="AH46" s="89">
        <f t="shared" si="22"/>
        <v>8.0284308330141112</v>
      </c>
      <c r="AI46" s="87">
        <f t="shared" si="23"/>
        <v>7.6156444709839857E-2</v>
      </c>
      <c r="AJ46" s="86">
        <f t="shared" si="24"/>
        <v>0.69118885462725954</v>
      </c>
      <c r="AK46" s="130"/>
      <c r="AL46" s="161"/>
      <c r="AM46" s="161"/>
      <c r="AN46" s="161"/>
      <c r="AO46" s="161"/>
      <c r="AP46" s="161"/>
      <c r="AQ46" s="161"/>
      <c r="AR46" s="130"/>
      <c r="AS46" s="86">
        <f t="shared" si="25"/>
        <v>0.87598259372674503</v>
      </c>
      <c r="AT46" s="87">
        <f t="shared" si="26"/>
        <v>5.0384744371904058E-2</v>
      </c>
      <c r="AU46" s="88">
        <f t="shared" si="27"/>
        <v>0</v>
      </c>
      <c r="AV46" s="89">
        <f t="shared" si="28"/>
        <v>0.90856837948900893</v>
      </c>
      <c r="AW46" s="87">
        <f t="shared" si="29"/>
        <v>5.0384744371904058E-2</v>
      </c>
      <c r="AX46" s="86">
        <f t="shared" si="30"/>
        <v>0</v>
      </c>
      <c r="AY46" s="130"/>
      <c r="AZ46" s="130"/>
      <c r="BA46" s="130"/>
      <c r="BB46" s="130"/>
      <c r="BC46" s="130"/>
      <c r="BD46" s="98">
        <f t="shared" si="32"/>
        <v>6292.8837553186386</v>
      </c>
      <c r="BE46" s="99">
        <f t="shared" si="33"/>
        <v>688.1419686152401</v>
      </c>
      <c r="BF46" s="99">
        <f t="shared" si="35"/>
        <v>387.083480259</v>
      </c>
      <c r="BG46" s="98">
        <f t="shared" si="36"/>
        <v>7368.1092041928787</v>
      </c>
    </row>
    <row r="47" spans="8:59" hidden="1" x14ac:dyDescent="0.25">
      <c r="H47" s="1">
        <v>3</v>
      </c>
      <c r="I47" s="130"/>
      <c r="J47" s="71">
        <f t="shared" si="34"/>
        <v>370.85177636857009</v>
      </c>
      <c r="K47" s="72">
        <f t="shared" si="34"/>
        <v>1.6229837040200001</v>
      </c>
      <c r="L47" s="73">
        <f t="shared" si="34"/>
        <v>16.229837040200003</v>
      </c>
      <c r="M47" s="74">
        <f t="shared" si="34"/>
        <v>384.64713785274012</v>
      </c>
      <c r="N47" s="72">
        <f t="shared" si="34"/>
        <v>1.6229837040200001</v>
      </c>
      <c r="O47" s="71">
        <f t="shared" si="34"/>
        <v>17.852820744220001</v>
      </c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86">
        <f t="shared" si="19"/>
        <v>8.045005960650407</v>
      </c>
      <c r="AF47" s="87">
        <f t="shared" si="20"/>
        <v>7.8786313576112543E-2</v>
      </c>
      <c r="AG47" s="88">
        <f t="shared" si="21"/>
        <v>0.65123115712420165</v>
      </c>
      <c r="AH47" s="89">
        <f t="shared" si="22"/>
        <v>8.3442731408058943</v>
      </c>
      <c r="AI47" s="87">
        <f t="shared" si="23"/>
        <v>7.8786313576112543E-2</v>
      </c>
      <c r="AJ47" s="86">
        <f t="shared" si="24"/>
        <v>0.71635427283662167</v>
      </c>
      <c r="AK47" s="130"/>
      <c r="AL47" s="161"/>
      <c r="AM47" s="161"/>
      <c r="AN47" s="161"/>
      <c r="AO47" s="161"/>
      <c r="AP47" s="161"/>
      <c r="AQ47" s="161"/>
      <c r="AR47" s="130"/>
      <c r="AS47" s="86">
        <f t="shared" si="25"/>
        <v>0.92932993368470362</v>
      </c>
      <c r="AT47" s="87">
        <f t="shared" si="26"/>
        <v>5.3453175304153E-2</v>
      </c>
      <c r="AU47" s="88">
        <f t="shared" si="27"/>
        <v>0</v>
      </c>
      <c r="AV47" s="89">
        <f t="shared" si="28"/>
        <v>0.96390019379988978</v>
      </c>
      <c r="AW47" s="87">
        <f t="shared" si="29"/>
        <v>5.3453175304153007E-2</v>
      </c>
      <c r="AX47" s="86">
        <f t="shared" si="30"/>
        <v>0</v>
      </c>
      <c r="AY47" s="130"/>
      <c r="AZ47" s="130"/>
      <c r="BA47" s="130"/>
      <c r="BB47" s="130"/>
      <c r="BC47" s="130"/>
      <c r="BD47" s="98">
        <f t="shared" si="32"/>
        <v>6538.7695628778129</v>
      </c>
      <c r="BE47" s="99">
        <f t="shared" si="33"/>
        <v>730.04981450390824</v>
      </c>
      <c r="BF47" s="99">
        <f t="shared" si="35"/>
        <v>387.083480259</v>
      </c>
      <c r="BG47" s="98">
        <f t="shared" si="36"/>
        <v>7655.9028576407209</v>
      </c>
    </row>
    <row r="48" spans="8:59" hidden="1" x14ac:dyDescent="0.25">
      <c r="H48" s="1">
        <v>4</v>
      </c>
      <c r="I48" s="130"/>
      <c r="J48" s="71">
        <f t="shared" si="34"/>
        <v>381.97732965962717</v>
      </c>
      <c r="K48" s="72">
        <f t="shared" si="34"/>
        <v>1.6716732151406002</v>
      </c>
      <c r="L48" s="73">
        <f t="shared" si="34"/>
        <v>16.716732151406003</v>
      </c>
      <c r="M48" s="74">
        <f t="shared" si="34"/>
        <v>396.18655198832232</v>
      </c>
      <c r="N48" s="72">
        <f t="shared" si="34"/>
        <v>1.6716732151406002</v>
      </c>
      <c r="O48" s="71">
        <f t="shared" si="34"/>
        <v>18.3884053665466</v>
      </c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86">
        <f t="shared" si="19"/>
        <v>8.3608250263442407</v>
      </c>
      <c r="AF48" s="87">
        <f t="shared" si="20"/>
        <v>8.1505433774122754E-2</v>
      </c>
      <c r="AG48" s="88">
        <f t="shared" si="21"/>
        <v>0.67224947013262271</v>
      </c>
      <c r="AH48" s="89">
        <f t="shared" si="22"/>
        <v>8.6718403993154709</v>
      </c>
      <c r="AI48" s="87">
        <f t="shared" si="23"/>
        <v>8.1505433774122754E-2</v>
      </c>
      <c r="AJ48" s="86">
        <f t="shared" si="24"/>
        <v>0.73947441714588491</v>
      </c>
      <c r="AK48" s="130"/>
      <c r="AL48" s="161"/>
      <c r="AM48" s="161"/>
      <c r="AN48" s="161"/>
      <c r="AO48" s="161"/>
      <c r="AP48" s="161"/>
      <c r="AQ48" s="161"/>
      <c r="AR48" s="130"/>
      <c r="AS48" s="86">
        <f t="shared" si="25"/>
        <v>0.98592612664610235</v>
      </c>
      <c r="AT48" s="87">
        <f t="shared" si="26"/>
        <v>5.6708473680175932E-2</v>
      </c>
      <c r="AU48" s="88">
        <f t="shared" si="27"/>
        <v>0</v>
      </c>
      <c r="AV48" s="89">
        <f t="shared" si="28"/>
        <v>1.0226017156023031</v>
      </c>
      <c r="AW48" s="87">
        <f t="shared" si="29"/>
        <v>5.6708473680175925E-2</v>
      </c>
      <c r="AX48" s="86">
        <f t="shared" si="30"/>
        <v>0</v>
      </c>
      <c r="AY48" s="130"/>
      <c r="AZ48" s="130"/>
      <c r="BA48" s="130"/>
      <c r="BB48" s="130"/>
      <c r="BC48" s="130"/>
      <c r="BD48" s="98">
        <f t="shared" si="32"/>
        <v>6791.7010658775598</v>
      </c>
      <c r="BE48" s="99">
        <f t="shared" si="33"/>
        <v>774.50984820719646</v>
      </c>
      <c r="BF48" s="99">
        <f t="shared" si="35"/>
        <v>1632.9519128971999</v>
      </c>
      <c r="BG48" s="98">
        <f t="shared" si="36"/>
        <v>9199.1628269819557</v>
      </c>
    </row>
    <row r="49" spans="8:59" hidden="1" x14ac:dyDescent="0.25">
      <c r="H49" s="1">
        <v>5</v>
      </c>
      <c r="I49" s="130"/>
      <c r="J49" s="71">
        <f t="shared" si="34"/>
        <v>393.43664954941602</v>
      </c>
      <c r="K49" s="72">
        <f t="shared" si="34"/>
        <v>1.7218234115948183</v>
      </c>
      <c r="L49" s="73">
        <f t="shared" si="34"/>
        <v>17.218234115948182</v>
      </c>
      <c r="M49" s="74">
        <f t="shared" si="34"/>
        <v>408.07214854797201</v>
      </c>
      <c r="N49" s="72">
        <f t="shared" si="34"/>
        <v>1.7218234115948183</v>
      </c>
      <c r="O49" s="71">
        <f t="shared" si="34"/>
        <v>18.940057527542997</v>
      </c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86">
        <f t="shared" si="19"/>
        <v>8.6953257263860788</v>
      </c>
      <c r="AF49" s="87">
        <f t="shared" si="20"/>
        <v>8.4164211537441455E-2</v>
      </c>
      <c r="AG49" s="88">
        <f t="shared" si="21"/>
        <v>0.69577375745238046</v>
      </c>
      <c r="AH49" s="89">
        <f t="shared" si="22"/>
        <v>9.0187842326192609</v>
      </c>
      <c r="AI49" s="87">
        <f t="shared" si="23"/>
        <v>8.4164211537441455E-2</v>
      </c>
      <c r="AJ49" s="86">
        <f t="shared" si="24"/>
        <v>0.76535113319761827</v>
      </c>
      <c r="AK49" s="130"/>
      <c r="AL49" s="161"/>
      <c r="AM49" s="161"/>
      <c r="AN49" s="161"/>
      <c r="AO49" s="161"/>
      <c r="AP49" s="161"/>
      <c r="AQ49" s="161"/>
      <c r="AR49" s="130"/>
      <c r="AS49" s="86">
        <f t="shared" si="25"/>
        <v>1.04596902775885</v>
      </c>
      <c r="AT49" s="87">
        <f t="shared" si="26"/>
        <v>6.0162019727298649E-2</v>
      </c>
      <c r="AU49" s="88">
        <f t="shared" si="27"/>
        <v>0</v>
      </c>
      <c r="AV49" s="89">
        <f t="shared" si="28"/>
        <v>1.0848781600824835</v>
      </c>
      <c r="AW49" s="87">
        <f t="shared" si="29"/>
        <v>6.0162019727298649E-2</v>
      </c>
      <c r="AX49" s="86">
        <f t="shared" si="30"/>
        <v>0</v>
      </c>
      <c r="AY49" s="130"/>
      <c r="AZ49" s="130"/>
      <c r="BA49" s="130"/>
      <c r="BB49" s="130"/>
      <c r="BC49" s="130"/>
      <c r="BD49" s="98">
        <f t="shared" si="32"/>
        <v>7060.4005945465315</v>
      </c>
      <c r="BE49" s="99">
        <f t="shared" si="33"/>
        <v>821.67749796301473</v>
      </c>
      <c r="BF49" s="99">
        <f t="shared" si="35"/>
        <v>387.083480259</v>
      </c>
      <c r="BG49" s="98">
        <f t="shared" si="36"/>
        <v>8269.1615727685457</v>
      </c>
    </row>
    <row r="50" spans="8:59" hidden="1" x14ac:dyDescent="0.25">
      <c r="H50" s="1">
        <v>6</v>
      </c>
      <c r="I50" s="130"/>
      <c r="J50" s="71">
        <f t="shared" si="34"/>
        <v>405.23974903589851</v>
      </c>
      <c r="K50" s="72">
        <f t="shared" si="34"/>
        <v>1.773478113942663</v>
      </c>
      <c r="L50" s="73">
        <f t="shared" si="34"/>
        <v>17.734781139426627</v>
      </c>
      <c r="M50" s="74">
        <f t="shared" si="34"/>
        <v>420.31431300441119</v>
      </c>
      <c r="N50" s="72">
        <f t="shared" si="34"/>
        <v>1.773478113942663</v>
      </c>
      <c r="O50" s="71">
        <f t="shared" si="34"/>
        <v>19.508259253369289</v>
      </c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86">
        <f t="shared" si="19"/>
        <v>9.0998292110594186</v>
      </c>
      <c r="AF50" s="87">
        <f t="shared" si="20"/>
        <v>8.7160616153417303E-2</v>
      </c>
      <c r="AG50" s="88">
        <f t="shared" si="21"/>
        <v>0.71853288325536224</v>
      </c>
      <c r="AH50" s="89">
        <f t="shared" si="22"/>
        <v>9.4383348928712607</v>
      </c>
      <c r="AI50" s="87">
        <f t="shared" si="23"/>
        <v>8.7160616153417303E-2</v>
      </c>
      <c r="AJ50" s="86">
        <f t="shared" si="24"/>
        <v>0.7903861715808983</v>
      </c>
      <c r="AK50" s="130"/>
      <c r="AL50" s="161"/>
      <c r="AM50" s="161"/>
      <c r="AN50" s="161"/>
      <c r="AO50" s="161"/>
      <c r="AP50" s="161"/>
      <c r="AQ50" s="161"/>
      <c r="AR50" s="130"/>
      <c r="AS50" s="86">
        <f t="shared" si="25"/>
        <v>1.1096685415493639</v>
      </c>
      <c r="AT50" s="87">
        <f t="shared" si="26"/>
        <v>6.3825886728691134E-2</v>
      </c>
      <c r="AU50" s="88">
        <f t="shared" si="27"/>
        <v>0</v>
      </c>
      <c r="AV50" s="89">
        <f t="shared" si="28"/>
        <v>1.1509472400315068</v>
      </c>
      <c r="AW50" s="87">
        <f t="shared" si="29"/>
        <v>6.3825886728691147E-2</v>
      </c>
      <c r="AX50" s="86">
        <f t="shared" si="30"/>
        <v>0</v>
      </c>
      <c r="AY50" s="130"/>
      <c r="AZ50" s="130"/>
      <c r="BA50" s="130"/>
      <c r="BB50" s="130"/>
      <c r="BC50" s="130"/>
      <c r="BD50" s="98">
        <f t="shared" si="32"/>
        <v>7380.8126027419285</v>
      </c>
      <c r="BE50" s="99">
        <f t="shared" si="33"/>
        <v>871.7176575889622</v>
      </c>
      <c r="BF50" s="99">
        <f t="shared" si="35"/>
        <v>387.083480259</v>
      </c>
      <c r="BG50" s="98">
        <f t="shared" si="36"/>
        <v>8639.6137405898899</v>
      </c>
    </row>
    <row r="51" spans="8:59" hidden="1" x14ac:dyDescent="0.25">
      <c r="H51" s="1">
        <v>7</v>
      </c>
      <c r="I51" s="130"/>
      <c r="J51" s="71">
        <f t="shared" si="34"/>
        <v>417.39694150697545</v>
      </c>
      <c r="K51" s="72">
        <f t="shared" si="34"/>
        <v>1.8266824573609428</v>
      </c>
      <c r="L51" s="73">
        <f t="shared" si="34"/>
        <v>18.266824573609426</v>
      </c>
      <c r="M51" s="74">
        <f t="shared" si="34"/>
        <v>432.92374239454352</v>
      </c>
      <c r="N51" s="72">
        <f t="shared" si="34"/>
        <v>1.8266824573609428</v>
      </c>
      <c r="O51" s="71">
        <f t="shared" si="34"/>
        <v>20.093507030970368</v>
      </c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86">
        <f t="shared" si="19"/>
        <v>9.4763912043789507</v>
      </c>
      <c r="AF51" s="87">
        <f t="shared" si="20"/>
        <v>9.0293432097164561E-2</v>
      </c>
      <c r="AG51" s="88">
        <f t="shared" si="21"/>
        <v>0.74591634116840122</v>
      </c>
      <c r="AH51" s="89">
        <f t="shared" si="22"/>
        <v>9.8289046627475347</v>
      </c>
      <c r="AI51" s="87">
        <f t="shared" si="23"/>
        <v>9.0293432097164561E-2</v>
      </c>
      <c r="AJ51" s="86">
        <f t="shared" si="24"/>
        <v>0.82050797528524133</v>
      </c>
      <c r="AK51" s="130"/>
      <c r="AL51" s="161"/>
      <c r="AM51" s="161"/>
      <c r="AN51" s="161"/>
      <c r="AO51" s="161"/>
      <c r="AP51" s="161"/>
      <c r="AQ51" s="161"/>
      <c r="AR51" s="130"/>
      <c r="AS51" s="86">
        <f t="shared" si="25"/>
        <v>1.1772473557297201</v>
      </c>
      <c r="AT51" s="87">
        <f t="shared" si="26"/>
        <v>6.7712883230468424E-2</v>
      </c>
      <c r="AU51" s="88">
        <f t="shared" si="27"/>
        <v>0</v>
      </c>
      <c r="AV51" s="89">
        <f t="shared" si="28"/>
        <v>1.2210399269494259</v>
      </c>
      <c r="AW51" s="87">
        <f t="shared" si="29"/>
        <v>6.7712883230468451E-2</v>
      </c>
      <c r="AX51" s="86">
        <f t="shared" si="30"/>
        <v>0</v>
      </c>
      <c r="AY51" s="130"/>
      <c r="AZ51" s="130"/>
      <c r="BA51" s="130"/>
      <c r="BB51" s="130"/>
      <c r="BC51" s="130"/>
      <c r="BD51" s="98">
        <f t="shared" si="32"/>
        <v>7684.0920724376774</v>
      </c>
      <c r="BE51" s="99">
        <f t="shared" si="33"/>
        <v>924.80526293613025</v>
      </c>
      <c r="BF51" s="99">
        <f t="shared" si="35"/>
        <v>387.083480259</v>
      </c>
      <c r="BG51" s="98">
        <f t="shared" si="36"/>
        <v>8995.9808156328072</v>
      </c>
    </row>
    <row r="52" spans="8:59" hidden="1" x14ac:dyDescent="0.25">
      <c r="H52" s="1">
        <v>8</v>
      </c>
      <c r="I52" s="130"/>
      <c r="J52" s="71">
        <f t="shared" si="34"/>
        <v>429.91884975218471</v>
      </c>
      <c r="K52" s="72">
        <f t="shared" si="34"/>
        <v>1.8814829310817711</v>
      </c>
      <c r="L52" s="73">
        <f t="shared" si="34"/>
        <v>18.814829310817711</v>
      </c>
      <c r="M52" s="74">
        <f t="shared" si="34"/>
        <v>445.91145466637983</v>
      </c>
      <c r="N52" s="72">
        <f t="shared" si="34"/>
        <v>1.8814829310817711</v>
      </c>
      <c r="O52" s="71">
        <f t="shared" si="34"/>
        <v>20.696312241899481</v>
      </c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86">
        <f t="shared" si="19"/>
        <v>9.8825962325073249</v>
      </c>
      <c r="AF52" s="87">
        <f t="shared" si="20"/>
        <v>9.3269003751539015E-2</v>
      </c>
      <c r="AG52" s="88">
        <f t="shared" si="21"/>
        <v>0.77062805745372431</v>
      </c>
      <c r="AH52" s="89">
        <f t="shared" si="22"/>
        <v>10.25022016238178</v>
      </c>
      <c r="AI52" s="87">
        <f t="shared" si="23"/>
        <v>9.3269003751539015E-2</v>
      </c>
      <c r="AJ52" s="86">
        <f t="shared" si="24"/>
        <v>0.84769086319909659</v>
      </c>
      <c r="AK52" s="130"/>
      <c r="AL52" s="161"/>
      <c r="AM52" s="161"/>
      <c r="AN52" s="161"/>
      <c r="AO52" s="161"/>
      <c r="AP52" s="161"/>
      <c r="AQ52" s="161"/>
      <c r="AR52" s="130"/>
      <c r="AS52" s="86">
        <f t="shared" si="25"/>
        <v>1.2489417196936603</v>
      </c>
      <c r="AT52" s="87">
        <f t="shared" si="26"/>
        <v>7.1836597819203943E-2</v>
      </c>
      <c r="AU52" s="88">
        <f t="shared" si="27"/>
        <v>0</v>
      </c>
      <c r="AV52" s="89">
        <f t="shared" si="28"/>
        <v>1.2954012585006458</v>
      </c>
      <c r="AW52" s="87">
        <f t="shared" si="29"/>
        <v>7.1836597819203971E-2</v>
      </c>
      <c r="AX52" s="86">
        <f t="shared" si="30"/>
        <v>0</v>
      </c>
      <c r="AY52" s="130"/>
      <c r="AZ52" s="130"/>
      <c r="BA52" s="130"/>
      <c r="BB52" s="130"/>
      <c r="BC52" s="130"/>
      <c r="BD52" s="98">
        <f t="shared" si="32"/>
        <v>8007.250762911428</v>
      </c>
      <c r="BE52" s="99">
        <f t="shared" si="33"/>
        <v>981.12590344894068</v>
      </c>
      <c r="BF52" s="99">
        <f t="shared" si="35"/>
        <v>387.083480259</v>
      </c>
      <c r="BG52" s="98">
        <f t="shared" si="36"/>
        <v>9375.460146619369</v>
      </c>
    </row>
    <row r="53" spans="8:59" hidden="1" x14ac:dyDescent="0.25">
      <c r="H53" s="1">
        <v>9</v>
      </c>
      <c r="I53" s="130"/>
      <c r="J53" s="71">
        <f t="shared" si="34"/>
        <v>442.81641524475026</v>
      </c>
      <c r="K53" s="72">
        <f t="shared" si="34"/>
        <v>1.9379274190142244</v>
      </c>
      <c r="L53" s="73">
        <f t="shared" si="34"/>
        <v>19.379274190142244</v>
      </c>
      <c r="M53" s="74">
        <f t="shared" si="34"/>
        <v>459.28879830637123</v>
      </c>
      <c r="N53" s="72">
        <f t="shared" si="34"/>
        <v>1.9379274190142244</v>
      </c>
      <c r="O53" s="71">
        <f t="shared" si="34"/>
        <v>21.317201609156466</v>
      </c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86">
        <f t="shared" si="19"/>
        <v>10.241859464861003</v>
      </c>
      <c r="AF53" s="87">
        <f t="shared" si="20"/>
        <v>9.6685310306542663E-2</v>
      </c>
      <c r="AG53" s="88">
        <f t="shared" si="21"/>
        <v>0.79889886953114841</v>
      </c>
      <c r="AH53" s="89">
        <f t="shared" si="22"/>
        <v>10.622847672525419</v>
      </c>
      <c r="AI53" s="87">
        <f t="shared" si="23"/>
        <v>9.6685310306542663E-2</v>
      </c>
      <c r="AJ53" s="86">
        <f t="shared" si="24"/>
        <v>0.87878875648426313</v>
      </c>
      <c r="AK53" s="130"/>
      <c r="AL53" s="161"/>
      <c r="AM53" s="161"/>
      <c r="AN53" s="161"/>
      <c r="AO53" s="161"/>
      <c r="AP53" s="161"/>
      <c r="AQ53" s="161"/>
      <c r="AR53" s="130"/>
      <c r="AS53" s="86">
        <f t="shared" si="25"/>
        <v>1.3250022704230044</v>
      </c>
      <c r="AT53" s="87">
        <f t="shared" si="26"/>
        <v>7.6211446626393481E-2</v>
      </c>
      <c r="AU53" s="88">
        <f t="shared" si="27"/>
        <v>0</v>
      </c>
      <c r="AV53" s="89">
        <f t="shared" si="28"/>
        <v>1.3742911951433354</v>
      </c>
      <c r="AW53" s="87">
        <f t="shared" si="29"/>
        <v>7.6211446626393495E-2</v>
      </c>
      <c r="AX53" s="86">
        <f t="shared" si="30"/>
        <v>0</v>
      </c>
      <c r="AY53" s="130"/>
      <c r="AZ53" s="130"/>
      <c r="BA53" s="130"/>
      <c r="BB53" s="130"/>
      <c r="BC53" s="130"/>
      <c r="BD53" s="98">
        <f t="shared" si="32"/>
        <v>8298.5543651654443</v>
      </c>
      <c r="BE53" s="99">
        <f t="shared" si="33"/>
        <v>1040.8764709689813</v>
      </c>
      <c r="BF53" s="99">
        <f t="shared" si="35"/>
        <v>18969.2296894268</v>
      </c>
      <c r="BG53" s="98">
        <f t="shared" si="36"/>
        <v>28308.660525561227</v>
      </c>
    </row>
    <row r="54" spans="8:59" hidden="1" x14ac:dyDescent="0.25">
      <c r="H54" s="1">
        <v>10</v>
      </c>
      <c r="I54" s="130"/>
      <c r="J54" s="71">
        <f t="shared" si="34"/>
        <v>456.1009077020928</v>
      </c>
      <c r="K54" s="72">
        <f t="shared" si="34"/>
        <v>1.9960652415846512</v>
      </c>
      <c r="L54" s="73">
        <f t="shared" si="34"/>
        <v>19.960652415846511</v>
      </c>
      <c r="M54" s="74">
        <f t="shared" si="34"/>
        <v>473.06746225556236</v>
      </c>
      <c r="N54" s="72">
        <f t="shared" si="34"/>
        <v>1.9960652415846512</v>
      </c>
      <c r="O54" s="71">
        <f t="shared" si="34"/>
        <v>21.95671765743116</v>
      </c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86">
        <f t="shared" si="19"/>
        <v>10.686536673503936</v>
      </c>
      <c r="AF54" s="87">
        <f t="shared" si="20"/>
        <v>9.9939638246700713E-2</v>
      </c>
      <c r="AG54" s="88">
        <f t="shared" si="21"/>
        <v>0.82817236508150938</v>
      </c>
      <c r="AH54" s="89">
        <f t="shared" si="22"/>
        <v>11.084066484115679</v>
      </c>
      <c r="AI54" s="87">
        <f t="shared" si="23"/>
        <v>9.9939638246700713E-2</v>
      </c>
      <c r="AJ54" s="86">
        <f t="shared" si="24"/>
        <v>0.91098960158966014</v>
      </c>
      <c r="AK54" s="130"/>
      <c r="AL54" s="161"/>
      <c r="AM54" s="161"/>
      <c r="AN54" s="161"/>
      <c r="AO54" s="161"/>
      <c r="AP54" s="161"/>
      <c r="AQ54" s="161"/>
      <c r="AR54" s="130"/>
      <c r="AS54" s="86">
        <f t="shared" si="25"/>
        <v>1.4056949086917652</v>
      </c>
      <c r="AT54" s="87">
        <f t="shared" si="26"/>
        <v>8.085272372594085E-2</v>
      </c>
      <c r="AU54" s="88">
        <f t="shared" si="27"/>
        <v>0</v>
      </c>
      <c r="AV54" s="89">
        <f t="shared" si="28"/>
        <v>1.4579855289275645</v>
      </c>
      <c r="AW54" s="87">
        <f t="shared" si="29"/>
        <v>8.0852723725940878E-2</v>
      </c>
      <c r="AX54" s="86">
        <f t="shared" si="30"/>
        <v>0</v>
      </c>
      <c r="AY54" s="130"/>
      <c r="AZ54" s="130"/>
      <c r="BA54" s="130"/>
      <c r="BB54" s="130"/>
      <c r="BC54" s="130"/>
      <c r="BD54" s="98">
        <f t="shared" si="32"/>
        <v>8654.0202062862281</v>
      </c>
      <c r="BE54" s="99">
        <f t="shared" si="33"/>
        <v>1104.265848050992</v>
      </c>
      <c r="BF54" s="99">
        <f t="shared" si="35"/>
        <v>387.083480259</v>
      </c>
      <c r="BG54" s="98">
        <f t="shared" si="36"/>
        <v>10145.369534596221</v>
      </c>
    </row>
    <row r="55" spans="8:59" hidden="1" x14ac:dyDescent="0.25">
      <c r="H55" s="1">
        <v>11</v>
      </c>
      <c r="I55" s="130"/>
      <c r="J55" s="71">
        <f t="shared" si="34"/>
        <v>469.78393493315559</v>
      </c>
      <c r="K55" s="72">
        <f t="shared" si="34"/>
        <v>2.0559471988321909</v>
      </c>
      <c r="L55" s="73">
        <f t="shared" si="34"/>
        <v>20.559471988321906</v>
      </c>
      <c r="M55" s="74">
        <f t="shared" si="34"/>
        <v>487.25948612322924</v>
      </c>
      <c r="N55" s="72">
        <f t="shared" si="34"/>
        <v>2.0559471988321909</v>
      </c>
      <c r="O55" s="71">
        <f t="shared" si="34"/>
        <v>22.615419187154096</v>
      </c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86">
        <f t="shared" si="19"/>
        <v>11.157002962761068</v>
      </c>
      <c r="AF55" s="87">
        <f t="shared" si="20"/>
        <v>0.10370302894287206</v>
      </c>
      <c r="AG55" s="88">
        <f t="shared" si="21"/>
        <v>0.8559325895530796</v>
      </c>
      <c r="AH55" s="89">
        <f t="shared" si="22"/>
        <v>11.57203370754649</v>
      </c>
      <c r="AI55" s="87">
        <f t="shared" si="23"/>
        <v>0.10370302894287206</v>
      </c>
      <c r="AJ55" s="86">
        <f t="shared" si="24"/>
        <v>0.94152584850838739</v>
      </c>
      <c r="AK55" s="130"/>
      <c r="AL55" s="161"/>
      <c r="AM55" s="161"/>
      <c r="AN55" s="161"/>
      <c r="AO55" s="161"/>
      <c r="AP55" s="161"/>
      <c r="AQ55" s="161"/>
      <c r="AR55" s="130"/>
      <c r="AS55" s="86">
        <f t="shared" si="25"/>
        <v>1.4913017286310937</v>
      </c>
      <c r="AT55" s="87">
        <f t="shared" si="26"/>
        <v>8.5776654600850655E-2</v>
      </c>
      <c r="AU55" s="88">
        <f t="shared" si="27"/>
        <v>0</v>
      </c>
      <c r="AV55" s="89">
        <f t="shared" si="28"/>
        <v>1.5467768476392529</v>
      </c>
      <c r="AW55" s="87">
        <f t="shared" si="29"/>
        <v>8.5776654600850655E-2</v>
      </c>
      <c r="AX55" s="86">
        <f t="shared" si="30"/>
        <v>0</v>
      </c>
      <c r="AY55" s="130"/>
      <c r="AZ55" s="130"/>
      <c r="BA55" s="130"/>
      <c r="BB55" s="130"/>
      <c r="BC55" s="130"/>
      <c r="BD55" s="98">
        <f t="shared" si="32"/>
        <v>9027.8739256829904</v>
      </c>
      <c r="BE55" s="99">
        <f t="shared" si="33"/>
        <v>1171.5156381972974</v>
      </c>
      <c r="BF55" s="99">
        <f t="shared" si="35"/>
        <v>387.083480259</v>
      </c>
      <c r="BG55" s="98">
        <f t="shared" si="36"/>
        <v>10586.473044139288</v>
      </c>
    </row>
    <row r="56" spans="8:59" hidden="1" x14ac:dyDescent="0.25">
      <c r="H56" s="1">
        <v>12</v>
      </c>
      <c r="I56" s="130"/>
      <c r="J56" s="71">
        <f t="shared" si="34"/>
        <v>483.87745298115027</v>
      </c>
      <c r="K56" s="72">
        <f t="shared" si="34"/>
        <v>2.1176256147971566</v>
      </c>
      <c r="L56" s="73">
        <f t="shared" si="34"/>
        <v>21.176256147971564</v>
      </c>
      <c r="M56" s="74">
        <f t="shared" si="34"/>
        <v>501.87727070692614</v>
      </c>
      <c r="N56" s="72">
        <f t="shared" si="34"/>
        <v>2.1176256147971566</v>
      </c>
      <c r="O56" s="71">
        <f t="shared" si="34"/>
        <v>23.29388176276872</v>
      </c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86">
        <f t="shared" si="19"/>
        <v>11.663231156892316</v>
      </c>
      <c r="AF56" s="87">
        <f t="shared" si="20"/>
        <v>0.10722696426580432</v>
      </c>
      <c r="AG56" s="88">
        <f t="shared" si="21"/>
        <v>0.88836620377024433</v>
      </c>
      <c r="AH56" s="89">
        <f t="shared" si="22"/>
        <v>12.097093147411286</v>
      </c>
      <c r="AI56" s="87">
        <f t="shared" si="23"/>
        <v>0.10722696426580432</v>
      </c>
      <c r="AJ56" s="86">
        <f t="shared" si="24"/>
        <v>0.97720282414726867</v>
      </c>
      <c r="AK56" s="130"/>
      <c r="AL56" s="161"/>
      <c r="AM56" s="161"/>
      <c r="AN56" s="161"/>
      <c r="AO56" s="161"/>
      <c r="AP56" s="161"/>
      <c r="AQ56" s="161"/>
      <c r="AR56" s="130"/>
      <c r="AS56" s="86">
        <f t="shared" si="25"/>
        <v>1.5821220039047272</v>
      </c>
      <c r="AT56" s="87">
        <f t="shared" si="26"/>
        <v>9.1000452866042456E-2</v>
      </c>
      <c r="AU56" s="88">
        <f t="shared" si="27"/>
        <v>0</v>
      </c>
      <c r="AV56" s="89">
        <f t="shared" si="28"/>
        <v>1.6409755576604836</v>
      </c>
      <c r="AW56" s="87">
        <f t="shared" si="29"/>
        <v>9.1000452866042469E-2</v>
      </c>
      <c r="AX56" s="86">
        <f t="shared" si="30"/>
        <v>0</v>
      </c>
      <c r="AY56" s="130"/>
      <c r="AZ56" s="130"/>
      <c r="BA56" s="130"/>
      <c r="BB56" s="130"/>
      <c r="BC56" s="130"/>
      <c r="BD56" s="98">
        <f t="shared" si="32"/>
        <v>9431.7267501747447</v>
      </c>
      <c r="BE56" s="99">
        <f t="shared" si="33"/>
        <v>1242.8609405635129</v>
      </c>
      <c r="BF56" s="99">
        <f t="shared" si="35"/>
        <v>387.083480259</v>
      </c>
      <c r="BG56" s="98">
        <f t="shared" si="36"/>
        <v>11061.671170997257</v>
      </c>
    </row>
    <row r="57" spans="8:59" hidden="1" x14ac:dyDescent="0.25">
      <c r="H57" s="1">
        <v>13</v>
      </c>
      <c r="I57" s="130"/>
      <c r="J57" s="71">
        <f t="shared" si="34"/>
        <v>498.39377657058481</v>
      </c>
      <c r="K57" s="72">
        <f t="shared" si="34"/>
        <v>2.1811543832410716</v>
      </c>
      <c r="L57" s="73">
        <f t="shared" si="34"/>
        <v>21.811543832410713</v>
      </c>
      <c r="M57" s="74">
        <f t="shared" si="34"/>
        <v>516.93358882813391</v>
      </c>
      <c r="N57" s="72">
        <f t="shared" si="34"/>
        <v>2.1811543832410716</v>
      </c>
      <c r="O57" s="71">
        <f t="shared" si="34"/>
        <v>23.992698215651782</v>
      </c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86">
        <f t="shared" si="19"/>
        <v>12.101459915802021</v>
      </c>
      <c r="AF57" s="87">
        <f t="shared" si="20"/>
        <v>0.11137154727731037</v>
      </c>
      <c r="AG57" s="88">
        <f t="shared" si="21"/>
        <v>0.91888291523140142</v>
      </c>
      <c r="AH57" s="89">
        <f t="shared" si="22"/>
        <v>12.551623632582402</v>
      </c>
      <c r="AI57" s="87">
        <f t="shared" si="23"/>
        <v>0.11137154727731037</v>
      </c>
      <c r="AJ57" s="86">
        <f t="shared" si="24"/>
        <v>1.0107712067545414</v>
      </c>
      <c r="AK57" s="130"/>
      <c r="AL57" s="161"/>
      <c r="AM57" s="161"/>
      <c r="AN57" s="161"/>
      <c r="AO57" s="161"/>
      <c r="AP57" s="161"/>
      <c r="AQ57" s="161"/>
      <c r="AR57" s="130"/>
      <c r="AS57" s="86">
        <f t="shared" si="25"/>
        <v>1.6784732339425257</v>
      </c>
      <c r="AT57" s="87">
        <f t="shared" si="26"/>
        <v>9.6542380445584469E-2</v>
      </c>
      <c r="AU57" s="88">
        <f t="shared" si="27"/>
        <v>0</v>
      </c>
      <c r="AV57" s="89">
        <f t="shared" si="28"/>
        <v>1.740910969122007</v>
      </c>
      <c r="AW57" s="87">
        <f t="shared" si="29"/>
        <v>9.6542380445584483E-2</v>
      </c>
      <c r="AX57" s="86">
        <f t="shared" si="30"/>
        <v>0</v>
      </c>
      <c r="AY57" s="130"/>
      <c r="AZ57" s="130"/>
      <c r="BA57" s="130"/>
      <c r="BB57" s="130"/>
      <c r="BC57" s="130"/>
      <c r="BD57" s="98">
        <f t="shared" si="32"/>
        <v>9784.0004791976207</v>
      </c>
      <c r="BE57" s="99">
        <f t="shared" si="33"/>
        <v>1318.5511718438311</v>
      </c>
      <c r="BF57" s="99">
        <f t="shared" si="35"/>
        <v>387.083480259</v>
      </c>
      <c r="BG57" s="98">
        <f t="shared" si="36"/>
        <v>11489.635131300452</v>
      </c>
    </row>
    <row r="58" spans="8:59" hidden="1" x14ac:dyDescent="0.25">
      <c r="H58" s="1">
        <v>14</v>
      </c>
      <c r="I58" s="130"/>
      <c r="J58" s="71">
        <f t="shared" si="34"/>
        <v>513.34558986770242</v>
      </c>
      <c r="K58" s="72">
        <f t="shared" si="34"/>
        <v>2.2465890147383036</v>
      </c>
      <c r="L58" s="73">
        <f t="shared" si="34"/>
        <v>22.465890147383035</v>
      </c>
      <c r="M58" s="74">
        <f t="shared" si="34"/>
        <v>532.44159649297796</v>
      </c>
      <c r="N58" s="72">
        <f t="shared" si="34"/>
        <v>2.2465890147383036</v>
      </c>
      <c r="O58" s="71">
        <f t="shared" si="34"/>
        <v>24.712479162121337</v>
      </c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86">
        <f t="shared" si="19"/>
        <v>12.664663626919932</v>
      </c>
      <c r="AF58" s="87">
        <f t="shared" si="20"/>
        <v>0.1151904973486486</v>
      </c>
      <c r="AG58" s="88">
        <f t="shared" si="21"/>
        <v>0.9504310997968346</v>
      </c>
      <c r="AH58" s="89">
        <f t="shared" si="22"/>
        <v>13.135778028796601</v>
      </c>
      <c r="AI58" s="87">
        <f t="shared" si="23"/>
        <v>0.1151904973486486</v>
      </c>
      <c r="AJ58" s="86">
        <f t="shared" si="24"/>
        <v>1.0454742097765179</v>
      </c>
      <c r="AK58" s="130"/>
      <c r="AL58" s="161"/>
      <c r="AM58" s="161"/>
      <c r="AN58" s="161"/>
      <c r="AO58" s="161"/>
      <c r="AP58" s="161"/>
      <c r="AQ58" s="161"/>
      <c r="AR58" s="130"/>
      <c r="AS58" s="86">
        <f t="shared" si="25"/>
        <v>1.7806922538896255</v>
      </c>
      <c r="AT58" s="87">
        <f t="shared" si="26"/>
        <v>0.10242181141472055</v>
      </c>
      <c r="AU58" s="88">
        <f t="shared" si="27"/>
        <v>0</v>
      </c>
      <c r="AV58" s="89">
        <f t="shared" si="28"/>
        <v>1.8469324471415374</v>
      </c>
      <c r="AW58" s="87">
        <f t="shared" si="29"/>
        <v>0.10242181141472058</v>
      </c>
      <c r="AX58" s="86">
        <f t="shared" si="30"/>
        <v>0</v>
      </c>
      <c r="AY58" s="130"/>
      <c r="AZ58" s="130"/>
      <c r="BA58" s="130"/>
      <c r="BB58" s="130"/>
      <c r="BC58" s="130"/>
      <c r="BD58" s="98">
        <f t="shared" si="32"/>
        <v>10229.755705395321</v>
      </c>
      <c r="BE58" s="99">
        <f t="shared" si="33"/>
        <v>1398.8509382091204</v>
      </c>
      <c r="BF58" s="99">
        <f t="shared" si="35"/>
        <v>1632.9519128971999</v>
      </c>
      <c r="BG58" s="98">
        <f t="shared" si="36"/>
        <v>13261.558556501641</v>
      </c>
    </row>
    <row r="59" spans="8:59" x14ac:dyDescent="0.25">
      <c r="H59" s="293"/>
      <c r="I59" s="139"/>
      <c r="J59" s="187"/>
      <c r="K59" s="187"/>
      <c r="L59" s="187"/>
      <c r="M59" s="187"/>
      <c r="N59" s="187"/>
      <c r="O59" s="187"/>
      <c r="P59" s="139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89"/>
      <c r="AF59" s="189"/>
      <c r="AG59" s="189"/>
      <c r="AH59" s="189"/>
      <c r="AI59" s="189"/>
      <c r="AJ59" s="189"/>
      <c r="AK59" s="130"/>
      <c r="AL59" s="161"/>
      <c r="AM59" s="161"/>
      <c r="AN59" s="161"/>
      <c r="AO59" s="161"/>
      <c r="AP59" s="161"/>
      <c r="AQ59" s="161"/>
      <c r="AR59" s="130"/>
      <c r="AS59" s="189"/>
      <c r="AT59" s="189"/>
      <c r="AU59" s="189"/>
      <c r="AV59" s="189"/>
      <c r="AW59" s="189"/>
      <c r="AX59" s="189"/>
      <c r="AY59" s="130"/>
      <c r="AZ59" s="130"/>
      <c r="BA59" s="130"/>
      <c r="BB59" s="130"/>
      <c r="BC59" s="130"/>
      <c r="BD59" s="294"/>
      <c r="BE59" s="294"/>
      <c r="BF59" s="294"/>
      <c r="BG59" s="294"/>
    </row>
    <row r="60" spans="8:59" x14ac:dyDescent="0.25">
      <c r="H60" s="293"/>
      <c r="I60" s="139"/>
      <c r="J60" s="187"/>
      <c r="K60" s="187"/>
      <c r="L60" s="187"/>
      <c r="M60" s="187"/>
      <c r="N60" s="187"/>
      <c r="O60" s="187"/>
      <c r="P60" s="139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89"/>
      <c r="AF60" s="189"/>
      <c r="AG60" s="189"/>
      <c r="AH60" s="189"/>
      <c r="AI60" s="189"/>
      <c r="AJ60" s="189"/>
      <c r="AK60" s="130"/>
      <c r="AL60" s="161"/>
      <c r="AM60" s="161"/>
      <c r="AN60" s="161"/>
      <c r="AO60" s="161"/>
      <c r="AP60" s="161"/>
      <c r="AQ60" s="161"/>
      <c r="AR60" s="130"/>
      <c r="AS60" s="189"/>
      <c r="AT60" s="189"/>
      <c r="AU60" s="189"/>
      <c r="AV60" s="189"/>
      <c r="AW60" s="189"/>
      <c r="AX60" s="189"/>
      <c r="AY60" s="130"/>
      <c r="AZ60" s="130"/>
      <c r="BA60" s="130"/>
      <c r="BB60" s="130"/>
      <c r="BC60" s="130"/>
      <c r="BD60" s="294"/>
      <c r="BE60" s="294"/>
      <c r="BF60" s="294"/>
      <c r="BG60" s="294"/>
    </row>
    <row r="61" spans="8:59" x14ac:dyDescent="0.25">
      <c r="H61" s="293"/>
      <c r="I61" s="139"/>
      <c r="J61" s="187"/>
      <c r="K61" s="187"/>
      <c r="L61" s="187"/>
      <c r="M61" s="187"/>
      <c r="N61" s="187"/>
      <c r="O61" s="187"/>
      <c r="P61" s="139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89"/>
      <c r="AF61" s="189"/>
      <c r="AG61" s="189"/>
      <c r="AH61" s="189"/>
      <c r="AI61" s="189"/>
      <c r="AJ61" s="189"/>
      <c r="AK61" s="130"/>
      <c r="AL61" s="161"/>
      <c r="AM61" s="161"/>
      <c r="AN61" s="161"/>
      <c r="AO61" s="161"/>
      <c r="AP61" s="161"/>
      <c r="AQ61" s="161"/>
      <c r="AR61" s="130"/>
      <c r="AS61" s="189"/>
      <c r="AT61" s="189"/>
      <c r="AU61" s="189"/>
      <c r="AV61" s="189"/>
      <c r="AW61" s="189"/>
      <c r="AX61" s="189"/>
      <c r="AY61" s="130"/>
      <c r="AZ61" s="130"/>
      <c r="BA61" s="130"/>
      <c r="BB61" s="130"/>
      <c r="BC61" s="130"/>
      <c r="BD61" s="294"/>
      <c r="BE61" s="294"/>
      <c r="BF61" s="294"/>
      <c r="BG61" s="294"/>
    </row>
    <row r="62" spans="8:59" x14ac:dyDescent="0.25">
      <c r="H62" s="293"/>
      <c r="I62" s="139"/>
      <c r="J62" s="187"/>
      <c r="K62" s="187"/>
      <c r="L62" s="187"/>
      <c r="M62" s="187"/>
      <c r="N62" s="187"/>
      <c r="O62" s="187"/>
      <c r="P62" s="139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89"/>
      <c r="AF62" s="189"/>
      <c r="AG62" s="189"/>
      <c r="AH62" s="189"/>
      <c r="AI62" s="189"/>
      <c r="AJ62" s="189"/>
      <c r="AK62" s="130"/>
      <c r="AL62" s="161"/>
      <c r="AM62" s="161"/>
      <c r="AN62" s="161"/>
      <c r="AO62" s="161"/>
      <c r="AP62" s="161"/>
      <c r="AQ62" s="161"/>
      <c r="AR62" s="130"/>
      <c r="AS62" s="189"/>
      <c r="AT62" s="189"/>
      <c r="AU62" s="189"/>
      <c r="AV62" s="189"/>
      <c r="AW62" s="189"/>
      <c r="AX62" s="189"/>
      <c r="AY62" s="130"/>
      <c r="AZ62" s="130"/>
      <c r="BA62" s="130"/>
      <c r="BB62" s="130"/>
      <c r="BC62" s="130"/>
      <c r="BD62" s="294"/>
      <c r="BE62" s="294"/>
      <c r="BF62" s="294"/>
      <c r="BG62" s="294"/>
    </row>
    <row r="63" spans="8:59" x14ac:dyDescent="0.25">
      <c r="H63" s="293"/>
      <c r="I63" s="139"/>
      <c r="J63" s="187"/>
      <c r="K63" s="187"/>
      <c r="L63" s="187"/>
      <c r="M63" s="187"/>
      <c r="N63" s="187"/>
      <c r="O63" s="187"/>
      <c r="P63" s="139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89"/>
      <c r="AF63" s="189"/>
      <c r="AG63" s="189"/>
      <c r="AH63" s="189"/>
      <c r="AI63" s="189"/>
      <c r="AJ63" s="189"/>
      <c r="AK63" s="130"/>
      <c r="AL63" s="161"/>
      <c r="AM63" s="161"/>
      <c r="AN63" s="161"/>
      <c r="AO63" s="161"/>
      <c r="AP63" s="161"/>
      <c r="AQ63" s="161"/>
      <c r="AR63" s="130"/>
      <c r="AS63" s="189"/>
      <c r="AT63" s="189"/>
      <c r="AU63" s="189"/>
      <c r="AV63" s="189"/>
      <c r="AW63" s="189"/>
      <c r="AX63" s="189"/>
      <c r="AY63" s="130"/>
      <c r="AZ63" s="130"/>
      <c r="BA63" s="130"/>
      <c r="BB63" s="130"/>
      <c r="BC63" s="130"/>
      <c r="BD63" s="294"/>
      <c r="BE63" s="294"/>
      <c r="BF63" s="294"/>
      <c r="BG63" s="294"/>
    </row>
    <row r="64" spans="8:59" x14ac:dyDescent="0.25">
      <c r="H64" s="293"/>
      <c r="I64" s="139"/>
      <c r="J64" s="187"/>
      <c r="K64" s="187"/>
      <c r="L64" s="187"/>
      <c r="M64" s="187"/>
      <c r="N64" s="187"/>
      <c r="O64" s="187"/>
      <c r="P64" s="139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89"/>
      <c r="AF64" s="189"/>
      <c r="AG64" s="189"/>
      <c r="AH64" s="189"/>
      <c r="AI64" s="189"/>
      <c r="AJ64" s="189"/>
      <c r="AK64" s="130"/>
      <c r="AL64" s="161"/>
      <c r="AM64" s="161"/>
      <c r="AN64" s="161"/>
      <c r="AO64" s="161"/>
      <c r="AP64" s="161"/>
      <c r="AQ64" s="161"/>
      <c r="AR64" s="130"/>
      <c r="AS64" s="189"/>
      <c r="AT64" s="189"/>
      <c r="AU64" s="189"/>
      <c r="AV64" s="189"/>
      <c r="AW64" s="189"/>
      <c r="AX64" s="189"/>
      <c r="AY64" s="130"/>
      <c r="AZ64" s="130"/>
      <c r="BA64" s="130"/>
      <c r="BB64" s="130"/>
      <c r="BC64" s="130"/>
      <c r="BD64" s="294"/>
      <c r="BE64" s="294"/>
      <c r="BF64" s="294"/>
      <c r="BG64" s="294"/>
    </row>
    <row r="65" spans="8:62" x14ac:dyDescent="0.25">
      <c r="H65" s="293"/>
      <c r="I65" s="139"/>
      <c r="J65" s="187"/>
      <c r="K65" s="187"/>
      <c r="L65" s="187"/>
      <c r="M65" s="187"/>
      <c r="N65" s="187"/>
      <c r="O65" s="187"/>
      <c r="P65" s="139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89"/>
      <c r="AF65" s="189"/>
      <c r="AG65" s="189"/>
      <c r="AH65" s="189"/>
      <c r="AI65" s="189"/>
      <c r="AJ65" s="189"/>
      <c r="AK65" s="130"/>
      <c r="AL65" s="161"/>
      <c r="AM65" s="161"/>
      <c r="AN65" s="161"/>
      <c r="AO65" s="161"/>
      <c r="AP65" s="161"/>
      <c r="AQ65" s="161"/>
      <c r="AR65" s="130"/>
      <c r="AS65" s="189"/>
      <c r="AT65" s="189"/>
      <c r="AU65" s="189"/>
      <c r="AV65" s="189"/>
      <c r="AW65" s="189"/>
      <c r="AX65" s="189"/>
      <c r="AY65" s="130"/>
      <c r="AZ65" s="130"/>
      <c r="BA65" s="130"/>
      <c r="BB65" s="130"/>
      <c r="BC65" s="130"/>
      <c r="BD65" s="294"/>
      <c r="BE65" s="294"/>
      <c r="BF65" s="294"/>
      <c r="BG65" s="294"/>
    </row>
    <row r="66" spans="8:62" x14ac:dyDescent="0.25">
      <c r="H66" s="293"/>
      <c r="I66" s="139"/>
      <c r="J66" s="187"/>
      <c r="K66" s="187"/>
      <c r="L66" s="187"/>
      <c r="M66" s="187"/>
      <c r="N66" s="187"/>
      <c r="O66" s="187"/>
      <c r="P66" s="139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89"/>
      <c r="AF66" s="189"/>
      <c r="AG66" s="189"/>
      <c r="AH66" s="189"/>
      <c r="AI66" s="189"/>
      <c r="AJ66" s="189"/>
      <c r="AK66" s="130"/>
      <c r="AL66" s="161"/>
      <c r="AM66" s="161"/>
      <c r="AN66" s="161"/>
      <c r="AO66" s="161"/>
      <c r="AP66" s="161"/>
      <c r="AQ66" s="161"/>
      <c r="AR66" s="130"/>
      <c r="AS66" s="189"/>
      <c r="AT66" s="189"/>
      <c r="AU66" s="189"/>
      <c r="AV66" s="189"/>
      <c r="AW66" s="189"/>
      <c r="AX66" s="189"/>
      <c r="AY66" s="130"/>
      <c r="AZ66" s="130"/>
      <c r="BA66" s="130"/>
      <c r="BB66" s="130"/>
      <c r="BC66" s="130"/>
      <c r="BD66" s="294"/>
      <c r="BE66" s="294"/>
      <c r="BF66" s="294"/>
      <c r="BG66" s="294"/>
    </row>
    <row r="67" spans="8:62" x14ac:dyDescent="0.25">
      <c r="H67" s="293"/>
      <c r="I67" s="139"/>
      <c r="J67" s="187"/>
      <c r="K67" s="187"/>
      <c r="L67" s="187"/>
      <c r="M67" s="187"/>
      <c r="N67" s="187"/>
      <c r="O67" s="187"/>
      <c r="P67" s="139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89"/>
      <c r="AF67" s="189"/>
      <c r="AG67" s="189"/>
      <c r="AH67" s="189"/>
      <c r="AI67" s="189"/>
      <c r="AJ67" s="189"/>
      <c r="AK67" s="130"/>
      <c r="AL67" s="161"/>
      <c r="AM67" s="161"/>
      <c r="AN67" s="161"/>
      <c r="AO67" s="161"/>
      <c r="AP67" s="161"/>
      <c r="AQ67" s="161"/>
      <c r="AR67" s="130"/>
      <c r="AS67" s="189"/>
      <c r="AT67" s="189"/>
      <c r="AU67" s="189"/>
      <c r="AV67" s="189"/>
      <c r="AW67" s="189"/>
      <c r="AX67" s="189"/>
      <c r="AY67" s="130"/>
      <c r="AZ67" s="130"/>
      <c r="BA67" s="130"/>
      <c r="BB67" s="130"/>
      <c r="BC67" s="130"/>
      <c r="BD67" s="294"/>
      <c r="BE67" s="294"/>
      <c r="BF67" s="294"/>
      <c r="BG67" s="294"/>
    </row>
    <row r="68" spans="8:62" x14ac:dyDescent="0.25">
      <c r="H68" s="293"/>
      <c r="I68" s="139"/>
      <c r="J68" s="187"/>
      <c r="K68" s="187"/>
      <c r="L68" s="187"/>
      <c r="M68" s="187"/>
      <c r="N68" s="187"/>
      <c r="O68" s="187"/>
      <c r="P68" s="139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89"/>
      <c r="AF68" s="189"/>
      <c r="AG68" s="189"/>
      <c r="AH68" s="189"/>
      <c r="AI68" s="189"/>
      <c r="AJ68" s="189"/>
      <c r="AK68" s="130"/>
      <c r="AL68" s="161"/>
      <c r="AM68" s="161"/>
      <c r="AN68" s="161"/>
      <c r="AO68" s="161"/>
      <c r="AP68" s="161"/>
      <c r="AQ68" s="161"/>
      <c r="AR68" s="130"/>
      <c r="AS68" s="189"/>
      <c r="AT68" s="189"/>
      <c r="AU68" s="189"/>
      <c r="AV68" s="189"/>
      <c r="AW68" s="189"/>
      <c r="AX68" s="189"/>
      <c r="AY68" s="130"/>
      <c r="AZ68" s="130"/>
      <c r="BA68" s="130"/>
      <c r="BB68" s="130"/>
      <c r="BC68" s="130"/>
      <c r="BD68" s="294"/>
      <c r="BE68" s="294"/>
      <c r="BF68" s="294"/>
      <c r="BG68" s="294"/>
    </row>
    <row r="69" spans="8:62" x14ac:dyDescent="0.25">
      <c r="H69" s="293"/>
      <c r="I69" s="139"/>
      <c r="J69" s="187"/>
      <c r="K69" s="187"/>
      <c r="L69" s="187"/>
      <c r="M69" s="187"/>
      <c r="N69" s="187"/>
      <c r="O69" s="187"/>
      <c r="P69" s="139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89"/>
      <c r="AF69" s="189"/>
      <c r="AG69" s="189"/>
      <c r="AH69" s="189"/>
      <c r="AI69" s="189"/>
      <c r="AJ69" s="189"/>
      <c r="AK69" s="130"/>
      <c r="AL69" s="161"/>
      <c r="AM69" s="161"/>
      <c r="AN69" s="161"/>
      <c r="AO69" s="161"/>
      <c r="AP69" s="161"/>
      <c r="AQ69" s="161"/>
      <c r="AR69" s="130"/>
      <c r="AS69" s="189"/>
      <c r="AT69" s="189"/>
      <c r="AU69" s="189"/>
      <c r="AV69" s="189"/>
      <c r="AW69" s="189"/>
      <c r="AX69" s="189"/>
      <c r="AY69" s="130"/>
      <c r="AZ69" s="130"/>
      <c r="BA69" s="130"/>
      <c r="BB69" s="130"/>
      <c r="BC69" s="130"/>
      <c r="BD69" s="294"/>
      <c r="BE69" s="294"/>
      <c r="BF69" s="294"/>
      <c r="BG69" s="294"/>
    </row>
    <row r="70" spans="8:62" x14ac:dyDescent="0.25">
      <c r="H70" s="293"/>
      <c r="I70" s="139"/>
      <c r="J70" s="187"/>
      <c r="K70" s="187"/>
      <c r="L70" s="187"/>
      <c r="M70" s="187"/>
      <c r="N70" s="187"/>
      <c r="O70" s="187"/>
      <c r="P70" s="139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89"/>
      <c r="AF70" s="189"/>
      <c r="AG70" s="189"/>
      <c r="AH70" s="189"/>
      <c r="AI70" s="189"/>
      <c r="AJ70" s="189"/>
      <c r="AK70" s="130"/>
      <c r="AL70" s="161"/>
      <c r="AM70" s="161"/>
      <c r="AN70" s="161"/>
      <c r="AO70" s="161"/>
      <c r="AP70" s="161"/>
      <c r="AQ70" s="161"/>
      <c r="AR70" s="130"/>
      <c r="AS70" s="189"/>
      <c r="AT70" s="189"/>
      <c r="AU70" s="189"/>
      <c r="AV70" s="189"/>
      <c r="AW70" s="189"/>
      <c r="AX70" s="189"/>
      <c r="AY70" s="130"/>
      <c r="AZ70" s="130"/>
      <c r="BA70" s="130"/>
      <c r="BB70" s="130"/>
      <c r="BC70" s="130"/>
      <c r="BD70" s="294"/>
      <c r="BE70" s="294"/>
      <c r="BF70" s="294"/>
      <c r="BG70" s="294"/>
    </row>
    <row r="71" spans="8:62" x14ac:dyDescent="0.25">
      <c r="H71" s="293"/>
      <c r="I71" s="139"/>
      <c r="J71" s="187"/>
      <c r="K71" s="187"/>
      <c r="L71" s="187"/>
      <c r="M71" s="187"/>
      <c r="N71" s="187"/>
      <c r="O71" s="187"/>
      <c r="P71" s="139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89"/>
      <c r="AF71" s="189"/>
      <c r="AG71" s="189"/>
      <c r="AH71" s="189"/>
      <c r="AI71" s="189"/>
      <c r="AJ71" s="189"/>
      <c r="AK71" s="130"/>
      <c r="AL71" s="161"/>
      <c r="AM71" s="161"/>
      <c r="AN71" s="161"/>
      <c r="AO71" s="161"/>
      <c r="AP71" s="161"/>
      <c r="AQ71" s="161"/>
      <c r="AR71" s="130"/>
      <c r="AS71" s="189"/>
      <c r="AT71" s="189"/>
      <c r="AU71" s="189"/>
      <c r="AV71" s="189"/>
      <c r="AW71" s="189"/>
      <c r="AX71" s="189"/>
      <c r="AY71" s="130"/>
      <c r="AZ71" s="130"/>
      <c r="BA71" s="130"/>
      <c r="BB71" s="130"/>
      <c r="BC71" s="130"/>
      <c r="BD71" s="294"/>
      <c r="BE71" s="294"/>
      <c r="BF71" s="294"/>
      <c r="BG71" s="294"/>
    </row>
    <row r="72" spans="8:62" x14ac:dyDescent="0.25">
      <c r="H72" s="293"/>
      <c r="I72" s="139"/>
      <c r="J72" s="187"/>
      <c r="K72" s="187"/>
      <c r="L72" s="187"/>
      <c r="M72" s="187"/>
      <c r="N72" s="187"/>
      <c r="O72" s="187"/>
      <c r="P72" s="139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89"/>
      <c r="AF72" s="189"/>
      <c r="AG72" s="189"/>
      <c r="AH72" s="189"/>
      <c r="AI72" s="189"/>
      <c r="AJ72" s="189"/>
      <c r="AK72" s="130"/>
      <c r="AL72" s="161"/>
      <c r="AM72" s="161"/>
      <c r="AN72" s="161"/>
      <c r="AO72" s="161"/>
      <c r="AP72" s="161"/>
      <c r="AQ72" s="161"/>
      <c r="AR72" s="130"/>
      <c r="AS72" s="189"/>
      <c r="AT72" s="189"/>
      <c r="AU72" s="189"/>
      <c r="AV72" s="189"/>
      <c r="AW72" s="189"/>
      <c r="AX72" s="189"/>
      <c r="AY72" s="130"/>
      <c r="AZ72" s="130"/>
      <c r="BA72" s="130"/>
      <c r="BB72" s="130"/>
      <c r="BC72" s="130"/>
      <c r="BD72" s="294"/>
      <c r="BE72" s="294"/>
      <c r="BF72" s="294"/>
      <c r="BG72" s="294"/>
    </row>
    <row r="73" spans="8:62" x14ac:dyDescent="0.25">
      <c r="H73" s="293"/>
      <c r="I73" s="139"/>
      <c r="J73" s="187"/>
      <c r="K73" s="187"/>
      <c r="L73" s="187"/>
      <c r="M73" s="187"/>
      <c r="N73" s="187"/>
      <c r="O73" s="187"/>
      <c r="P73" s="139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89"/>
      <c r="AF73" s="189"/>
      <c r="AG73" s="189"/>
      <c r="AH73" s="189"/>
      <c r="AI73" s="189"/>
      <c r="AJ73" s="189"/>
      <c r="AK73" s="130"/>
      <c r="AL73" s="161"/>
      <c r="AM73" s="161"/>
      <c r="AN73" s="161"/>
      <c r="AO73" s="161"/>
      <c r="AP73" s="161"/>
      <c r="AQ73" s="161"/>
      <c r="AR73" s="130"/>
      <c r="AS73" s="189"/>
      <c r="AT73" s="189"/>
      <c r="AU73" s="189"/>
      <c r="AV73" s="189"/>
      <c r="AW73" s="189"/>
      <c r="AX73" s="189"/>
      <c r="AY73" s="130"/>
      <c r="AZ73" s="130"/>
      <c r="BA73" s="130"/>
      <c r="BB73" s="130"/>
      <c r="BC73" s="130"/>
      <c r="BD73" s="294"/>
      <c r="BE73" s="294"/>
      <c r="BF73" s="294"/>
      <c r="BG73" s="294"/>
    </row>
    <row r="74" spans="8:62" x14ac:dyDescent="0.25">
      <c r="H74" s="293"/>
      <c r="I74" s="139"/>
      <c r="J74" s="187"/>
      <c r="K74" s="187"/>
      <c r="L74" s="187"/>
      <c r="M74" s="187"/>
      <c r="N74" s="187"/>
      <c r="O74" s="187"/>
      <c r="P74" s="139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89"/>
      <c r="AF74" s="189"/>
      <c r="AG74" s="189"/>
      <c r="AH74" s="189"/>
      <c r="AI74" s="189"/>
      <c r="AJ74" s="189"/>
      <c r="AK74" s="139"/>
      <c r="AL74" s="161"/>
      <c r="AM74" s="161"/>
      <c r="AN74" s="161"/>
      <c r="AO74" s="161"/>
      <c r="AP74" s="161"/>
      <c r="AQ74" s="161"/>
      <c r="AR74" s="139"/>
      <c r="AS74" s="189"/>
      <c r="AT74" s="189"/>
      <c r="AU74" s="189"/>
      <c r="AV74" s="189"/>
      <c r="AW74" s="189"/>
      <c r="AX74" s="189"/>
      <c r="AY74" s="139"/>
      <c r="AZ74" s="139"/>
      <c r="BA74" s="139"/>
      <c r="BB74" s="139"/>
      <c r="BC74" s="139"/>
      <c r="BD74" s="294"/>
      <c r="BE74" s="294"/>
      <c r="BF74" s="294"/>
      <c r="BG74" s="294"/>
      <c r="BH74" s="139"/>
      <c r="BI74" s="139"/>
      <c r="BJ74" s="139"/>
    </row>
    <row r="75" spans="8:62" x14ac:dyDescent="0.25">
      <c r="BD75" s="139"/>
      <c r="BE75" s="139"/>
      <c r="BF75" s="139"/>
      <c r="BG75" s="139"/>
    </row>
  </sheetData>
  <mergeCells count="40">
    <mergeCell ref="H40:H42"/>
    <mergeCell ref="J40:N40"/>
    <mergeCell ref="AE40:AJ40"/>
    <mergeCell ref="AS40:AX40"/>
    <mergeCell ref="BD40:BG41"/>
    <mergeCell ref="J41:L41"/>
    <mergeCell ref="M41:O41"/>
    <mergeCell ref="AE41:AG41"/>
    <mergeCell ref="AH41:AJ41"/>
    <mergeCell ref="AS41:AU41"/>
    <mergeCell ref="AV41:AX41"/>
    <mergeCell ref="AE3:AJ3"/>
    <mergeCell ref="AE4:AG4"/>
    <mergeCell ref="AH4:AJ4"/>
    <mergeCell ref="A3:F3"/>
    <mergeCell ref="H3:H5"/>
    <mergeCell ref="J3:O3"/>
    <mergeCell ref="Q3:V3"/>
    <mergeCell ref="X3:AC3"/>
    <mergeCell ref="M4:O4"/>
    <mergeCell ref="Q4:S4"/>
    <mergeCell ref="T4:V4"/>
    <mergeCell ref="X4:Z4"/>
    <mergeCell ref="AA4:AC4"/>
    <mergeCell ref="A13:F13"/>
    <mergeCell ref="A22:F22"/>
    <mergeCell ref="D31:F31"/>
    <mergeCell ref="A1:BG1"/>
    <mergeCell ref="BI2:BJ2"/>
    <mergeCell ref="AL4:AN4"/>
    <mergeCell ref="AO4:AQ4"/>
    <mergeCell ref="AS4:AU4"/>
    <mergeCell ref="AV4:AX4"/>
    <mergeCell ref="B6:C6"/>
    <mergeCell ref="D6:E6"/>
    <mergeCell ref="AL3:AQ3"/>
    <mergeCell ref="AS3:AX3"/>
    <mergeCell ref="AZ3:BB4"/>
    <mergeCell ref="BD3:BG4"/>
    <mergeCell ref="J4:L4"/>
  </mergeCells>
  <hyperlinks>
    <hyperlink ref="D31" location="'DATOS DE EVALUACION'!A1" display="Regresar a la pagina principal."/>
    <hyperlink ref="BI2:BJ2" location="'DATOS DE EVALUACION'!A1" display="A la Página Principal."/>
  </hyperlinks>
  <pageMargins left="0.7" right="0.7" top="0.75" bottom="0.75" header="0.3" footer="0.3"/>
  <pageSetup paperSize="1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"/>
  <sheetViews>
    <sheetView zoomScale="80" zoomScaleNormal="80" workbookViewId="0">
      <selection sqref="A1:E1"/>
    </sheetView>
  </sheetViews>
  <sheetFormatPr baseColWidth="10" defaultRowHeight="15" x14ac:dyDescent="0.25"/>
  <cols>
    <col min="2" max="5" width="18.7109375" customWidth="1"/>
    <col min="9" max="9" width="2.7109375" hidden="1" customWidth="1"/>
    <col min="10" max="10" width="5" hidden="1" customWidth="1"/>
    <col min="11" max="12" width="12" hidden="1" customWidth="1"/>
    <col min="13" max="13" width="13.5703125" hidden="1" customWidth="1"/>
    <col min="14" max="14" width="2.7109375" hidden="1" customWidth="1"/>
  </cols>
  <sheetData>
    <row r="1" spans="1:52" s="69" customFormat="1" ht="39" customHeight="1" x14ac:dyDescent="0.25">
      <c r="A1" s="388" t="s">
        <v>161</v>
      </c>
      <c r="B1" s="388"/>
      <c r="C1" s="388"/>
      <c r="D1" s="388"/>
      <c r="E1" s="388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</row>
    <row r="2" spans="1:52" ht="17.25" customHeight="1" x14ac:dyDescent="0.25">
      <c r="G2" s="390" t="s">
        <v>95</v>
      </c>
      <c r="H2" s="390"/>
    </row>
    <row r="3" spans="1:52" s="69" customFormat="1" ht="15.75" x14ac:dyDescent="0.25">
      <c r="A3" s="389" t="s">
        <v>82</v>
      </c>
      <c r="B3" s="389"/>
      <c r="C3" s="389"/>
      <c r="D3" s="389"/>
      <c r="E3" s="389"/>
      <c r="J3" s="389" t="s">
        <v>122</v>
      </c>
      <c r="K3" s="389"/>
      <c r="L3" s="389"/>
      <c r="M3" s="389"/>
    </row>
    <row r="4" spans="1:52" ht="15.75" thickBot="1" x14ac:dyDescent="0.3">
      <c r="A4" s="205" t="s">
        <v>59</v>
      </c>
      <c r="B4" s="206" t="s">
        <v>75</v>
      </c>
      <c r="C4" s="206" t="s">
        <v>76</v>
      </c>
      <c r="D4" s="206" t="s">
        <v>80</v>
      </c>
      <c r="E4" s="206" t="s">
        <v>78</v>
      </c>
      <c r="J4" s="248" t="s">
        <v>59</v>
      </c>
      <c r="K4" s="206" t="s">
        <v>75</v>
      </c>
      <c r="L4" s="206" t="s">
        <v>76</v>
      </c>
      <c r="M4" s="206" t="s">
        <v>78</v>
      </c>
    </row>
    <row r="5" spans="1:52" s="33" customFormat="1" ht="12" customHeight="1" thickTop="1" x14ac:dyDescent="0.25">
      <c r="A5" s="174">
        <v>0</v>
      </c>
      <c r="B5" s="103">
        <f>'AV. SIGLO XXI SP'!BD6</f>
        <v>27837.569451224997</v>
      </c>
      <c r="C5" s="103">
        <f>'AV. SIGLO XXI SP'!BE6</f>
        <v>3460.3422943860205</v>
      </c>
      <c r="D5" s="103">
        <f>'AV. SIGLO XXI SP'!BF6</f>
        <v>0</v>
      </c>
      <c r="E5" s="103">
        <f>SUM(B5:D5)</f>
        <v>31297.911745611018</v>
      </c>
      <c r="F5" s="22"/>
      <c r="G5" s="264"/>
      <c r="J5" s="174">
        <v>0</v>
      </c>
      <c r="K5" s="103">
        <f>'AV. SIGLO XXI SP'!BD43</f>
        <v>27837.569451224997</v>
      </c>
      <c r="L5" s="103">
        <f>'AV. SIGLO XXI SP'!BE43</f>
        <v>3460.3422943860205</v>
      </c>
      <c r="M5" s="103">
        <f t="shared" ref="M5:M20" si="0">SUM(K5+L5+D5)</f>
        <v>31297.911745611018</v>
      </c>
    </row>
    <row r="6" spans="1:52" ht="12" customHeight="1" x14ac:dyDescent="0.25">
      <c r="A6" s="101">
        <v>1</v>
      </c>
      <c r="B6" s="103">
        <f>'AV. SIGLO XXI SP'!BD7</f>
        <v>29092.445346162393</v>
      </c>
      <c r="C6" s="103">
        <f>'AV. SIGLO XXI SP'!BE7</f>
        <v>3671.0771401141292</v>
      </c>
      <c r="D6" s="103">
        <f>'AV. SIGLO XXI SP'!BF7</f>
        <v>829.93416857142847</v>
      </c>
      <c r="E6" s="102">
        <f t="shared" ref="E6:E20" si="1">SUM(B6:D6)</f>
        <v>33593.456654847949</v>
      </c>
      <c r="F6" s="22"/>
      <c r="G6" s="264"/>
      <c r="J6" s="150">
        <v>1</v>
      </c>
      <c r="K6" s="103">
        <f>'AV. SIGLO XXI SP'!BD44</f>
        <v>29092.445346162393</v>
      </c>
      <c r="L6" s="103">
        <f>'AV. SIGLO XXI SP'!BE44</f>
        <v>3671.0771401141301</v>
      </c>
      <c r="M6" s="102">
        <f t="shared" si="0"/>
        <v>33593.456654847956</v>
      </c>
    </row>
    <row r="7" spans="1:52" ht="12" customHeight="1" x14ac:dyDescent="0.25">
      <c r="A7" s="101">
        <v>2</v>
      </c>
      <c r="B7" s="103">
        <f>'AV. SIGLO XXI SP'!BD8</f>
        <v>30344.654974256293</v>
      </c>
      <c r="C7" s="103">
        <f>'AV. SIGLO XXI SP'!BE8</f>
        <v>3894.6457379470803</v>
      </c>
      <c r="D7" s="103">
        <f>'AV. SIGLO XXI SP'!BF8</f>
        <v>829.93416857142847</v>
      </c>
      <c r="E7" s="102">
        <f t="shared" si="1"/>
        <v>35069.234880774806</v>
      </c>
      <c r="F7" s="22"/>
      <c r="G7" s="264"/>
      <c r="J7" s="150">
        <v>2</v>
      </c>
      <c r="K7" s="103">
        <f>'AV. SIGLO XXI SP'!BD45</f>
        <v>30344.654974256282</v>
      </c>
      <c r="L7" s="103">
        <f>'AV. SIGLO XXI SP'!BE45</f>
        <v>3894.6457379470803</v>
      </c>
      <c r="M7" s="102">
        <f t="shared" si="0"/>
        <v>35069.234880774791</v>
      </c>
    </row>
    <row r="8" spans="1:52" ht="12" customHeight="1" x14ac:dyDescent="0.25">
      <c r="A8" s="150">
        <v>3</v>
      </c>
      <c r="B8" s="103">
        <f>'AV. SIGLO XXI SP'!BD9</f>
        <v>31519.137487919143</v>
      </c>
      <c r="C8" s="103">
        <f>'AV. SIGLO XXI SP'!BE9</f>
        <v>4131.8296633880573</v>
      </c>
      <c r="D8" s="103">
        <f>'AV. SIGLO XXI SP'!BF9</f>
        <v>829.93416857142847</v>
      </c>
      <c r="E8" s="102">
        <f t="shared" si="1"/>
        <v>36480.901319878634</v>
      </c>
      <c r="F8" s="22"/>
      <c r="G8" s="264"/>
      <c r="J8" s="150">
        <v>3</v>
      </c>
      <c r="K8" s="103">
        <f>'AV. SIGLO XXI SP'!BD46</f>
        <v>31519.137487919143</v>
      </c>
      <c r="L8" s="103">
        <f>'AV. SIGLO XXI SP'!BE46</f>
        <v>4131.8296633880564</v>
      </c>
      <c r="M8" s="102">
        <f t="shared" si="0"/>
        <v>36480.901319878627</v>
      </c>
    </row>
    <row r="9" spans="1:52" ht="12" customHeight="1" x14ac:dyDescent="0.25">
      <c r="A9" s="150">
        <v>4</v>
      </c>
      <c r="B9" s="103">
        <f>'AV. SIGLO XXI SP'!BD10</f>
        <v>32859.58744758914</v>
      </c>
      <c r="C9" s="103">
        <f>'AV. SIGLO XXI SP'!BE10</f>
        <v>4383.4580898883896</v>
      </c>
      <c r="D9" s="103">
        <f>'AV. SIGLO XXI SP'!BF10</f>
        <v>829.93416857142847</v>
      </c>
      <c r="E9" s="102">
        <f t="shared" si="1"/>
        <v>38072.979706048958</v>
      </c>
      <c r="F9" s="22"/>
      <c r="G9" s="264"/>
      <c r="J9" s="150">
        <v>4</v>
      </c>
      <c r="K9" s="103">
        <f>'AV. SIGLO XXI SP'!BD47</f>
        <v>32859.58744758914</v>
      </c>
      <c r="L9" s="103">
        <f>'AV. SIGLO XXI SP'!BE47</f>
        <v>4383.4580898883887</v>
      </c>
      <c r="M9" s="102">
        <f t="shared" si="0"/>
        <v>38072.979706048958</v>
      </c>
    </row>
    <row r="10" spans="1:52" ht="12" customHeight="1" x14ac:dyDescent="0.25">
      <c r="A10" s="150">
        <v>5</v>
      </c>
      <c r="B10" s="103">
        <f>'AV. SIGLO XXI SP'!BD11</f>
        <v>34152.848552870288</v>
      </c>
      <c r="C10" s="103">
        <f>'AV. SIGLO XXI SP'!BE11</f>
        <v>4650.4106875625912</v>
      </c>
      <c r="D10" s="103">
        <f>'AV. SIGLO XXI SP'!BF11</f>
        <v>3501.1635920000003</v>
      </c>
      <c r="E10" s="102">
        <f t="shared" si="1"/>
        <v>42304.422832432872</v>
      </c>
      <c r="F10" s="22"/>
      <c r="G10" s="264"/>
      <c r="J10" s="150">
        <v>5</v>
      </c>
      <c r="K10" s="103">
        <f>'AV. SIGLO XXI SP'!BD48</f>
        <v>34152.848552870288</v>
      </c>
      <c r="L10" s="103">
        <f>'AV. SIGLO XXI SP'!BE48</f>
        <v>4650.4106875625912</v>
      </c>
      <c r="M10" s="102">
        <f t="shared" si="0"/>
        <v>42304.422832432872</v>
      </c>
    </row>
    <row r="11" spans="1:52" ht="12" customHeight="1" x14ac:dyDescent="0.25">
      <c r="A11" s="150">
        <v>6</v>
      </c>
      <c r="B11" s="103">
        <f>'AV. SIGLO XXI SP'!BD12</f>
        <v>35791.777829741426</v>
      </c>
      <c r="C11" s="103">
        <f>'AV. SIGLO XXI SP'!BE12</f>
        <v>4933.6206984351547</v>
      </c>
      <c r="D11" s="103">
        <f>'AV. SIGLO XXI SP'!BF12</f>
        <v>829.93416857142847</v>
      </c>
      <c r="E11" s="102">
        <f t="shared" si="1"/>
        <v>41555.33269674801</v>
      </c>
      <c r="F11" s="22"/>
      <c r="G11" s="264"/>
      <c r="J11" s="150">
        <v>6</v>
      </c>
      <c r="K11" s="103">
        <f>'AV. SIGLO XXI SP'!BD49</f>
        <v>35791.777829741433</v>
      </c>
      <c r="L11" s="103">
        <f>'AV. SIGLO XXI SP'!BE49</f>
        <v>4933.6206984351547</v>
      </c>
      <c r="M11" s="102">
        <f t="shared" si="0"/>
        <v>41555.332696748017</v>
      </c>
    </row>
    <row r="12" spans="1:52" ht="12" customHeight="1" x14ac:dyDescent="0.25">
      <c r="A12" s="150">
        <v>7</v>
      </c>
      <c r="B12" s="103">
        <f>'AV. SIGLO XXI SP'!BD13</f>
        <v>37446.992562965199</v>
      </c>
      <c r="C12" s="103">
        <f>'AV. SIGLO XXI SP'!BE13</f>
        <v>5234.0781989698553</v>
      </c>
      <c r="D12" s="103">
        <f>'AV. SIGLO XXI SP'!BF13</f>
        <v>829.93416857142847</v>
      </c>
      <c r="E12" s="102">
        <f t="shared" si="1"/>
        <v>43511.004930506489</v>
      </c>
      <c r="F12" s="22"/>
      <c r="G12" s="264"/>
      <c r="J12" s="150">
        <v>7</v>
      </c>
      <c r="K12" s="103">
        <f>'AV. SIGLO XXI SP'!BD50</f>
        <v>37446.992562965199</v>
      </c>
      <c r="L12" s="103">
        <f>'AV. SIGLO XXI SP'!BE50</f>
        <v>5234.0781989698553</v>
      </c>
      <c r="M12" s="102">
        <f t="shared" si="0"/>
        <v>43511.004930506489</v>
      </c>
    </row>
    <row r="13" spans="1:52" ht="12" customHeight="1" x14ac:dyDescent="0.25">
      <c r="A13" s="150">
        <v>8</v>
      </c>
      <c r="B13" s="103">
        <f>'AV. SIGLO XXI SP'!BD14</f>
        <v>38986.405050774942</v>
      </c>
      <c r="C13" s="103">
        <f>'AV. SIGLO XXI SP'!BE14</f>
        <v>5552.8335612871206</v>
      </c>
      <c r="D13" s="103">
        <f>'AV. SIGLO XXI SP'!BF14</f>
        <v>829.93416857142847</v>
      </c>
      <c r="E13" s="102">
        <f t="shared" si="1"/>
        <v>45369.172780633497</v>
      </c>
      <c r="F13" s="22"/>
      <c r="G13" s="264"/>
      <c r="J13" s="150">
        <v>8</v>
      </c>
      <c r="K13" s="103">
        <f>'AV. SIGLO XXI SP'!BD51</f>
        <v>38986.405050774942</v>
      </c>
      <c r="L13" s="103">
        <f>'AV. SIGLO XXI SP'!BE51</f>
        <v>5552.8335612871206</v>
      </c>
      <c r="M13" s="102">
        <f t="shared" si="0"/>
        <v>45369.172780633497</v>
      </c>
    </row>
    <row r="14" spans="1:52" ht="12" customHeight="1" x14ac:dyDescent="0.25">
      <c r="A14" s="150">
        <v>9</v>
      </c>
      <c r="B14" s="103">
        <f>'AV. SIGLO XXI SP'!BD15</f>
        <v>40608.349044184601</v>
      </c>
      <c r="C14" s="103">
        <f>'AV. SIGLO XXI SP'!BE15</f>
        <v>5891.0011251695059</v>
      </c>
      <c r="D14" s="103">
        <f>'AV. SIGLO XXI SP'!BF15</f>
        <v>829.93416857142847</v>
      </c>
      <c r="E14" s="102">
        <f t="shared" si="1"/>
        <v>47329.284337925536</v>
      </c>
      <c r="F14" s="22"/>
      <c r="G14" s="264"/>
      <c r="J14" s="150">
        <v>9</v>
      </c>
      <c r="K14" s="103">
        <f>'AV. SIGLO XXI SP'!BD52</f>
        <v>40608.349044184593</v>
      </c>
      <c r="L14" s="103">
        <f>'AV. SIGLO XXI SP'!BE52</f>
        <v>5891.0011251695059</v>
      </c>
      <c r="M14" s="102">
        <f t="shared" si="0"/>
        <v>47329.284337925528</v>
      </c>
    </row>
    <row r="15" spans="1:52" ht="12" customHeight="1" x14ac:dyDescent="0.25">
      <c r="A15" s="150">
        <v>10</v>
      </c>
      <c r="B15" s="103">
        <f>'AV. SIGLO XXI SP'!BD16</f>
        <v>42516.602220478715</v>
      </c>
      <c r="C15" s="103">
        <f>'AV. SIGLO XXI SP'!BE16</f>
        <v>6249.7630936923288</v>
      </c>
      <c r="D15" s="103">
        <f>'AV. SIGLO XXI SP'!BF16</f>
        <v>40671.360762285716</v>
      </c>
      <c r="E15" s="102">
        <f t="shared" si="1"/>
        <v>89437.726076456762</v>
      </c>
      <c r="F15" s="22"/>
      <c r="G15" s="264"/>
      <c r="J15" s="150">
        <v>10</v>
      </c>
      <c r="K15" s="103">
        <f>'AV. SIGLO XXI SP'!BD53</f>
        <v>42516.602220478715</v>
      </c>
      <c r="L15" s="103">
        <f>'AV. SIGLO XXI SP'!BE53</f>
        <v>6249.7630936923279</v>
      </c>
      <c r="M15" s="102">
        <f t="shared" si="0"/>
        <v>89437.726076456762</v>
      </c>
    </row>
    <row r="16" spans="1:52" ht="12" customHeight="1" x14ac:dyDescent="0.25">
      <c r="A16" s="150">
        <v>11</v>
      </c>
      <c r="B16" s="103">
        <f>'AV. SIGLO XXI SP'!BD17</f>
        <v>44639.821686110707</v>
      </c>
      <c r="C16" s="103">
        <f>'AV. SIGLO XXI SP'!BE17</f>
        <v>6630.3736660981904</v>
      </c>
      <c r="D16" s="103">
        <f>'AV. SIGLO XXI SP'!BF17</f>
        <v>829.93416857142847</v>
      </c>
      <c r="E16" s="102">
        <f t="shared" si="1"/>
        <v>52100.129520780327</v>
      </c>
      <c r="F16" s="22"/>
      <c r="G16" s="264"/>
      <c r="J16" s="150">
        <v>11</v>
      </c>
      <c r="K16" s="103">
        <f>'AV. SIGLO XXI SP'!BD54</f>
        <v>44639.821686110699</v>
      </c>
      <c r="L16" s="103">
        <f>'AV. SIGLO XXI SP'!BE54</f>
        <v>6630.3736660981904</v>
      </c>
      <c r="M16" s="102">
        <f t="shared" si="0"/>
        <v>52100.12952078032</v>
      </c>
    </row>
    <row r="17" spans="1:13" ht="12" customHeight="1" x14ac:dyDescent="0.25">
      <c r="A17" s="150">
        <v>12</v>
      </c>
      <c r="B17" s="103">
        <f>'AV. SIGLO XXI SP'!BD18</f>
        <v>46577.249183925203</v>
      </c>
      <c r="C17" s="103">
        <f>'AV. SIGLO XXI SP'!BE18</f>
        <v>7034.1634223635701</v>
      </c>
      <c r="D17" s="103">
        <f>'AV. SIGLO XXI SP'!BF18</f>
        <v>829.93416857142847</v>
      </c>
      <c r="E17" s="102">
        <f t="shared" si="1"/>
        <v>54441.346774860205</v>
      </c>
      <c r="F17" s="22"/>
      <c r="G17" s="264"/>
      <c r="J17" s="150">
        <v>12</v>
      </c>
      <c r="K17" s="103">
        <f>'AV. SIGLO XXI SP'!BD55</f>
        <v>46577.249183925203</v>
      </c>
      <c r="L17" s="103">
        <f>'AV. SIGLO XXI SP'!BE55</f>
        <v>7034.1634223635701</v>
      </c>
      <c r="M17" s="102">
        <f t="shared" si="0"/>
        <v>54441.346774860205</v>
      </c>
    </row>
    <row r="18" spans="1:13" ht="12" customHeight="1" x14ac:dyDescent="0.25">
      <c r="A18" s="150">
        <v>13</v>
      </c>
      <c r="B18" s="103">
        <f>'AV. SIGLO XXI SP'!BD19</f>
        <v>48616.019421760997</v>
      </c>
      <c r="C18" s="103">
        <f>'AV. SIGLO XXI SP'!BE19</f>
        <v>7462.5439747855116</v>
      </c>
      <c r="D18" s="103">
        <f>'AV. SIGLO XXI SP'!BF19</f>
        <v>829.93416857142847</v>
      </c>
      <c r="E18" s="102">
        <f t="shared" si="1"/>
        <v>56908.497565117941</v>
      </c>
      <c r="F18" s="22"/>
      <c r="G18" s="264"/>
      <c r="J18" s="150">
        <v>13</v>
      </c>
      <c r="K18" s="103">
        <f>'AV. SIGLO XXI SP'!BD56</f>
        <v>48616.019421760997</v>
      </c>
      <c r="L18" s="103">
        <f>'AV. SIGLO XXI SP'!BE56</f>
        <v>7462.5439747855116</v>
      </c>
      <c r="M18" s="102">
        <f t="shared" si="0"/>
        <v>56908.497565117941</v>
      </c>
    </row>
    <row r="19" spans="1:13" ht="12" customHeight="1" x14ac:dyDescent="0.25">
      <c r="A19" s="150">
        <v>14</v>
      </c>
      <c r="B19" s="103">
        <f>'AV. SIGLO XXI SP'!BD20</f>
        <v>50800.328068781149</v>
      </c>
      <c r="C19" s="103">
        <f>'AV. SIGLO XXI SP'!BE20</f>
        <v>7917.0129028499505</v>
      </c>
      <c r="D19" s="103">
        <f>'AV. SIGLO XXI SP'!BF20</f>
        <v>829.93416857142847</v>
      </c>
      <c r="E19" s="102">
        <f t="shared" si="1"/>
        <v>59547.275140202531</v>
      </c>
      <c r="F19" s="22"/>
      <c r="G19" s="264"/>
      <c r="J19" s="150">
        <v>14</v>
      </c>
      <c r="K19" s="103">
        <f>'AV. SIGLO XXI SP'!BD57</f>
        <v>50800.328068781149</v>
      </c>
      <c r="L19" s="103">
        <f>'AV. SIGLO XXI SP'!BE57</f>
        <v>7917.0129028499505</v>
      </c>
      <c r="M19" s="102">
        <f t="shared" si="0"/>
        <v>59547.275140202531</v>
      </c>
    </row>
    <row r="20" spans="1:13" ht="12" customHeight="1" x14ac:dyDescent="0.25">
      <c r="A20" s="150">
        <v>15</v>
      </c>
      <c r="B20" s="103">
        <f>'AV. SIGLO XXI SP'!BD21</f>
        <v>52650.950292568057</v>
      </c>
      <c r="C20" s="103">
        <f>'AV. SIGLO XXI SP'!BE21</f>
        <v>8399.1589886335132</v>
      </c>
      <c r="D20" s="103">
        <f>'AV. SIGLO XXI SP'!BF21</f>
        <v>3501.1635920000003</v>
      </c>
      <c r="E20" s="102">
        <f t="shared" si="1"/>
        <v>64551.272873201568</v>
      </c>
      <c r="F20" s="22"/>
      <c r="G20" s="264"/>
      <c r="J20" s="150">
        <v>15</v>
      </c>
      <c r="K20" s="103">
        <f>'AV. SIGLO XXI SP'!BD58</f>
        <v>52650.950292568057</v>
      </c>
      <c r="L20" s="103">
        <f>'AV. SIGLO XXI SP'!BE58</f>
        <v>8399.1589886335132</v>
      </c>
      <c r="M20" s="102">
        <f t="shared" si="0"/>
        <v>64551.272873201568</v>
      </c>
    </row>
    <row r="21" spans="1:13" ht="12" customHeight="1" x14ac:dyDescent="0.25">
      <c r="A21" s="150"/>
      <c r="E21" s="22">
        <f>-(E5+NPV(10%,E6:E20))</f>
        <v>-375230.85966546042</v>
      </c>
      <c r="J21" s="150"/>
      <c r="K21" s="103"/>
      <c r="L21" s="103"/>
      <c r="M21" s="102"/>
    </row>
    <row r="22" spans="1:13" x14ac:dyDescent="0.25">
      <c r="E22" s="182">
        <f>PMT(10%,31,E21)</f>
        <v>39585.435071783533</v>
      </c>
    </row>
  </sheetData>
  <mergeCells count="4">
    <mergeCell ref="A1:E1"/>
    <mergeCell ref="A3:E3"/>
    <mergeCell ref="G2:H2"/>
    <mergeCell ref="J3:M3"/>
  </mergeCells>
  <hyperlinks>
    <hyperlink ref="G2:H2" location="'DATOS DE EVALUACION'!A1" display="A la Página Principal.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zoomScale="80" zoomScaleNormal="80" workbookViewId="0">
      <selection activeCell="H5" sqref="H5:H20"/>
    </sheetView>
  </sheetViews>
  <sheetFormatPr baseColWidth="10" defaultColWidth="11.42578125" defaultRowHeight="15" x14ac:dyDescent="0.25"/>
  <cols>
    <col min="1" max="1" width="11.42578125" style="69"/>
    <col min="2" max="3" width="18.7109375" style="69" customWidth="1"/>
    <col min="4" max="4" width="13.42578125" style="130" customWidth="1"/>
    <col min="5" max="6" width="18.7109375" style="69" customWidth="1"/>
    <col min="7" max="7" width="2.7109375" style="69" customWidth="1"/>
    <col min="8" max="8" width="11.42578125" style="69"/>
    <col min="9" max="9" width="14.5703125" style="69" customWidth="1"/>
    <col min="10" max="10" width="2.85546875" style="69" customWidth="1"/>
    <col min="11" max="11" width="5" style="69" customWidth="1"/>
    <col min="12" max="12" width="14.28515625" style="69" customWidth="1"/>
    <col min="13" max="13" width="14.7109375" style="69" customWidth="1"/>
    <col min="14" max="14" width="2.7109375" style="69" customWidth="1"/>
    <col min="15" max="15" width="5" style="69" customWidth="1"/>
    <col min="16" max="18" width="12" style="69" customWidth="1"/>
    <col min="19" max="19" width="2.7109375" style="69" customWidth="1"/>
    <col min="20" max="16384" width="11.42578125" style="69"/>
  </cols>
  <sheetData>
    <row r="1" spans="1:35" ht="39" customHeight="1" x14ac:dyDescent="0.25">
      <c r="A1" s="388" t="s">
        <v>146</v>
      </c>
      <c r="B1" s="388"/>
      <c r="C1" s="388"/>
      <c r="D1" s="388"/>
      <c r="E1" s="388"/>
      <c r="F1" s="388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 ht="17.25" customHeight="1" x14ac:dyDescent="0.25">
      <c r="H2" s="390" t="s">
        <v>95</v>
      </c>
      <c r="I2" s="390"/>
    </row>
    <row r="3" spans="1:35" ht="15.75" x14ac:dyDescent="0.25">
      <c r="A3" s="389" t="s">
        <v>81</v>
      </c>
      <c r="B3" s="389"/>
      <c r="C3" s="389"/>
      <c r="D3" s="389"/>
      <c r="E3" s="389"/>
      <c r="F3" s="389"/>
      <c r="K3" s="389" t="s">
        <v>96</v>
      </c>
      <c r="L3" s="389"/>
      <c r="M3" s="252">
        <f>SENSIBILIDAD!J20</f>
        <v>0</v>
      </c>
      <c r="N3" s="253"/>
      <c r="O3" s="389" t="s">
        <v>122</v>
      </c>
      <c r="P3" s="389"/>
      <c r="Q3" s="389"/>
      <c r="R3" s="389"/>
    </row>
    <row r="4" spans="1:35" ht="27" thickBot="1" x14ac:dyDescent="0.3">
      <c r="A4" s="205" t="s">
        <v>59</v>
      </c>
      <c r="B4" s="206" t="s">
        <v>75</v>
      </c>
      <c r="C4" s="206" t="s">
        <v>76</v>
      </c>
      <c r="D4" s="254" t="s">
        <v>149</v>
      </c>
      <c r="E4" s="206" t="s">
        <v>80</v>
      </c>
      <c r="F4" s="206" t="s">
        <v>78</v>
      </c>
      <c r="K4" s="248" t="s">
        <v>59</v>
      </c>
      <c r="L4" s="206" t="s">
        <v>80</v>
      </c>
      <c r="M4" s="206" t="s">
        <v>78</v>
      </c>
      <c r="N4" s="253"/>
      <c r="O4" s="248" t="s">
        <v>59</v>
      </c>
      <c r="P4" s="206" t="s">
        <v>75</v>
      </c>
      <c r="Q4" s="206" t="s">
        <v>76</v>
      </c>
      <c r="R4" s="206" t="s">
        <v>78</v>
      </c>
    </row>
    <row r="5" spans="1:35" s="33" customFormat="1" ht="12" customHeight="1" thickTop="1" x14ac:dyDescent="0.25">
      <c r="A5" s="174">
        <v>0</v>
      </c>
      <c r="B5" s="103">
        <f>'AV. crecer CP'!BD6</f>
        <v>5619.4172656960454</v>
      </c>
      <c r="C5" s="103">
        <f>'AV. crecer CP'!BE6</f>
        <v>576.30806507856096</v>
      </c>
      <c r="D5" s="103">
        <f>4620.46+5600.5628</f>
        <v>10221.022799999999</v>
      </c>
      <c r="E5" s="103">
        <f>'AV. crecer CP'!BF6</f>
        <v>0</v>
      </c>
      <c r="F5" s="103">
        <f>SUM(B5:E5)</f>
        <v>16416.748130774606</v>
      </c>
      <c r="H5" s="30"/>
      <c r="I5" s="30"/>
      <c r="K5" s="174">
        <v>0</v>
      </c>
      <c r="L5" s="103">
        <f>E5*(1+$M$3)</f>
        <v>0</v>
      </c>
      <c r="M5" s="103">
        <f>$B$5+$C$5+L5</f>
        <v>6195.7253307746068</v>
      </c>
      <c r="O5" s="174">
        <v>0</v>
      </c>
      <c r="P5" s="103">
        <f>'AV. crecer CP'!BD43</f>
        <v>5619.4172656960454</v>
      </c>
      <c r="Q5" s="103">
        <f>'AV. crecer CP'!BE43</f>
        <v>576.30806507856096</v>
      </c>
      <c r="R5" s="103">
        <f>SUM(P5+Q5+E5)</f>
        <v>6195.7253307746068</v>
      </c>
      <c r="T5" s="30"/>
    </row>
    <row r="6" spans="1:35" ht="12" customHeight="1" x14ac:dyDescent="0.25">
      <c r="A6" s="101">
        <v>1</v>
      </c>
      <c r="B6" s="103">
        <f>'AV. crecer CP'!BD7</f>
        <v>5824.9623506571843</v>
      </c>
      <c r="C6" s="103">
        <f>'AV. crecer CP'!BE7</f>
        <v>611.4052262418453</v>
      </c>
      <c r="D6" s="103"/>
      <c r="E6" s="103">
        <f>'AV. crecer CP'!BF7</f>
        <v>387.083480259</v>
      </c>
      <c r="F6" s="102">
        <f t="shared" ref="F6" si="0">SUM(B6:E6)</f>
        <v>6823.4510571580295</v>
      </c>
      <c r="H6" s="30"/>
      <c r="I6" s="30"/>
      <c r="K6" s="101">
        <v>1</v>
      </c>
      <c r="L6" s="103">
        <f>E6*(1+$M$3)</f>
        <v>387.083480259</v>
      </c>
      <c r="M6" s="102">
        <f>$B$6+$C$6+L6</f>
        <v>6823.4510571580295</v>
      </c>
      <c r="O6" s="150">
        <v>1</v>
      </c>
      <c r="P6" s="103">
        <f>'AV. crecer CP'!BD44</f>
        <v>5824.9623506571852</v>
      </c>
      <c r="Q6" s="103">
        <f>'AV. crecer CP'!BE44</f>
        <v>611.4052262418453</v>
      </c>
      <c r="R6" s="102">
        <f>SUM(P6+Q6+E6)</f>
        <v>6823.4510571580304</v>
      </c>
      <c r="T6" s="30"/>
    </row>
    <row r="7" spans="1:35" ht="12" customHeight="1" x14ac:dyDescent="0.25">
      <c r="A7" s="101">
        <v>2</v>
      </c>
      <c r="B7" s="103">
        <f>'AV. crecer CP'!BD8</f>
        <v>6061.4400051513712</v>
      </c>
      <c r="C7" s="103">
        <f>'AV. crecer CP'!BE8</f>
        <v>648.63980451997384</v>
      </c>
      <c r="D7" s="103"/>
      <c r="E7" s="103">
        <f>'AV. crecer CP'!BF8</f>
        <v>387.083480259</v>
      </c>
      <c r="F7" s="102">
        <f t="shared" ref="F7:F20" si="1">SUM(B7:E7)</f>
        <v>7097.1632899303449</v>
      </c>
      <c r="H7" s="30"/>
      <c r="I7" s="30"/>
      <c r="K7" s="101">
        <v>2</v>
      </c>
      <c r="L7" s="103">
        <f>E7*(1+$M$3)</f>
        <v>387.083480259</v>
      </c>
      <c r="M7" s="102">
        <f>$B$7+$C$7+L7</f>
        <v>7097.1632899303449</v>
      </c>
      <c r="O7" s="150">
        <v>2</v>
      </c>
      <c r="P7" s="103">
        <f>'AV. crecer CP'!BD45</f>
        <v>6061.4400051513721</v>
      </c>
      <c r="Q7" s="103">
        <f>'AV. crecer CP'!BE45</f>
        <v>648.63980451997395</v>
      </c>
      <c r="R7" s="102">
        <f t="shared" ref="R7:R20" si="2">SUM(P7+Q7+E7)</f>
        <v>7097.1632899303459</v>
      </c>
      <c r="T7" s="30"/>
    </row>
    <row r="8" spans="1:35" ht="12" customHeight="1" x14ac:dyDescent="0.25">
      <c r="A8" s="101">
        <v>3</v>
      </c>
      <c r="B8" s="103">
        <f>'AV. crecer CP'!BD9</f>
        <v>6292.8837553186386</v>
      </c>
      <c r="C8" s="103">
        <f>'AV. crecer CP'!BE9</f>
        <v>688.1419686152401</v>
      </c>
      <c r="D8" s="103"/>
      <c r="E8" s="103">
        <f>'AV. crecer CP'!BF9</f>
        <v>387.083480259</v>
      </c>
      <c r="F8" s="102">
        <f t="shared" si="1"/>
        <v>7368.1092041928787</v>
      </c>
      <c r="H8" s="30"/>
      <c r="I8" s="30"/>
      <c r="K8" s="101">
        <v>3</v>
      </c>
      <c r="L8" s="103">
        <f>E8*(1+$M$3)</f>
        <v>387.083480259</v>
      </c>
      <c r="M8" s="102">
        <f t="shared" ref="M8:M20" si="3">B8+C8+L8</f>
        <v>7368.1092041928787</v>
      </c>
      <c r="O8" s="150">
        <v>3</v>
      </c>
      <c r="P8" s="103">
        <f>'AV. crecer CP'!BD46</f>
        <v>6292.8837553186386</v>
      </c>
      <c r="Q8" s="103">
        <f>'AV. crecer CP'!BE46</f>
        <v>688.1419686152401</v>
      </c>
      <c r="R8" s="102">
        <f t="shared" si="2"/>
        <v>7368.1092041928787</v>
      </c>
      <c r="T8" s="30"/>
    </row>
    <row r="9" spans="1:35" ht="12" customHeight="1" x14ac:dyDescent="0.25">
      <c r="A9" s="101">
        <v>4</v>
      </c>
      <c r="B9" s="103">
        <f>'AV. crecer CP'!BD10</f>
        <v>6538.769562877811</v>
      </c>
      <c r="C9" s="103">
        <f>'AV. crecer CP'!BE10</f>
        <v>730.04981450390812</v>
      </c>
      <c r="D9" s="103"/>
      <c r="E9" s="103">
        <f>'AV. crecer CP'!BF10</f>
        <v>387.083480259</v>
      </c>
      <c r="F9" s="102">
        <f t="shared" si="1"/>
        <v>7655.902857640719</v>
      </c>
      <c r="H9" s="30"/>
      <c r="I9" s="30"/>
      <c r="K9" s="101">
        <v>4</v>
      </c>
      <c r="L9" s="103">
        <f t="shared" ref="L9:L20" si="4">E9*(1+$M$3)</f>
        <v>387.083480259</v>
      </c>
      <c r="M9" s="102">
        <f t="shared" si="3"/>
        <v>7655.902857640719</v>
      </c>
      <c r="O9" s="150">
        <v>4</v>
      </c>
      <c r="P9" s="103">
        <f>'AV. crecer CP'!BD47</f>
        <v>6538.7695628778129</v>
      </c>
      <c r="Q9" s="103">
        <f>'AV. crecer CP'!BE47</f>
        <v>730.04981450390824</v>
      </c>
      <c r="R9" s="102">
        <f t="shared" si="2"/>
        <v>7655.9028576407209</v>
      </c>
      <c r="T9" s="30"/>
    </row>
    <row r="10" spans="1:35" ht="12" customHeight="1" x14ac:dyDescent="0.25">
      <c r="A10" s="101">
        <v>5</v>
      </c>
      <c r="B10" s="103">
        <f>'AV. crecer CP'!BD11</f>
        <v>6791.701065877558</v>
      </c>
      <c r="C10" s="103">
        <f>'AV. crecer CP'!BE11</f>
        <v>774.50984820719623</v>
      </c>
      <c r="D10" s="103"/>
      <c r="E10" s="103">
        <f>'AV. crecer CP'!BF11</f>
        <v>1632.9519128971999</v>
      </c>
      <c r="F10" s="102">
        <f t="shared" si="1"/>
        <v>9199.1628269819539</v>
      </c>
      <c r="H10" s="30"/>
      <c r="I10" s="30"/>
      <c r="K10" s="101">
        <v>5</v>
      </c>
      <c r="L10" s="103">
        <f t="shared" si="4"/>
        <v>1632.9519128971999</v>
      </c>
      <c r="M10" s="102">
        <f t="shared" si="3"/>
        <v>9199.1628269819539</v>
      </c>
      <c r="O10" s="150">
        <v>5</v>
      </c>
      <c r="P10" s="103">
        <f>'AV. crecer CP'!BD48</f>
        <v>6791.7010658775598</v>
      </c>
      <c r="Q10" s="103">
        <f>'AV. crecer CP'!BE48</f>
        <v>774.50984820719646</v>
      </c>
      <c r="R10" s="102">
        <f t="shared" si="2"/>
        <v>9199.1628269819557</v>
      </c>
      <c r="T10" s="30"/>
    </row>
    <row r="11" spans="1:35" ht="12" customHeight="1" x14ac:dyDescent="0.25">
      <c r="A11" s="101">
        <v>6</v>
      </c>
      <c r="B11" s="103">
        <f>'AV. crecer CP'!BD12</f>
        <v>7060.4005945465287</v>
      </c>
      <c r="C11" s="103">
        <f>'AV. crecer CP'!BE12</f>
        <v>821.67749796301462</v>
      </c>
      <c r="D11" s="103"/>
      <c r="E11" s="103">
        <f>'AV. crecer CP'!BF12</f>
        <v>387.083480259</v>
      </c>
      <c r="F11" s="102">
        <f t="shared" si="1"/>
        <v>8269.1615727685439</v>
      </c>
      <c r="H11" s="30"/>
      <c r="I11" s="30"/>
      <c r="K11" s="101">
        <v>6</v>
      </c>
      <c r="L11" s="103">
        <f t="shared" si="4"/>
        <v>387.083480259</v>
      </c>
      <c r="M11" s="102">
        <f t="shared" si="3"/>
        <v>8269.1615727685439</v>
      </c>
      <c r="O11" s="150">
        <v>6</v>
      </c>
      <c r="P11" s="103">
        <f>'AV. crecer CP'!BD49</f>
        <v>7060.4005945465315</v>
      </c>
      <c r="Q11" s="103">
        <f>'AV. crecer CP'!BE49</f>
        <v>821.67749796301473</v>
      </c>
      <c r="R11" s="102">
        <f t="shared" si="2"/>
        <v>8269.1615727685457</v>
      </c>
      <c r="T11" s="30"/>
    </row>
    <row r="12" spans="1:35" ht="12" customHeight="1" x14ac:dyDescent="0.25">
      <c r="A12" s="101">
        <v>7</v>
      </c>
      <c r="B12" s="103">
        <f>'AV. crecer CP'!BD13</f>
        <v>7380.8126027419257</v>
      </c>
      <c r="C12" s="103">
        <f>'AV. crecer CP'!BE13</f>
        <v>871.71765758896208</v>
      </c>
      <c r="D12" s="103"/>
      <c r="E12" s="103">
        <f>'AV. crecer CP'!BF13</f>
        <v>387.083480259</v>
      </c>
      <c r="F12" s="102">
        <f t="shared" si="1"/>
        <v>8639.613740589888</v>
      </c>
      <c r="H12" s="30"/>
      <c r="I12" s="30"/>
      <c r="K12" s="101">
        <v>7</v>
      </c>
      <c r="L12" s="103">
        <f t="shared" si="4"/>
        <v>387.083480259</v>
      </c>
      <c r="M12" s="102">
        <f t="shared" si="3"/>
        <v>8639.613740589888</v>
      </c>
      <c r="O12" s="150">
        <v>7</v>
      </c>
      <c r="P12" s="103">
        <f>'AV. crecer CP'!BD50</f>
        <v>7380.8126027419285</v>
      </c>
      <c r="Q12" s="103">
        <f>'AV. crecer CP'!BE50</f>
        <v>871.7176575889622</v>
      </c>
      <c r="R12" s="102">
        <f t="shared" si="2"/>
        <v>8639.6137405898899</v>
      </c>
      <c r="T12" s="30"/>
    </row>
    <row r="13" spans="1:35" ht="12" customHeight="1" x14ac:dyDescent="0.25">
      <c r="A13" s="101">
        <v>8</v>
      </c>
      <c r="B13" s="103">
        <f>'AV. crecer CP'!BD14</f>
        <v>7684.0920724376747</v>
      </c>
      <c r="C13" s="103">
        <f>'AV. crecer CP'!BE14</f>
        <v>924.80526293612991</v>
      </c>
      <c r="D13" s="103"/>
      <c r="E13" s="103">
        <f>'AV. crecer CP'!BF14</f>
        <v>387.083480259</v>
      </c>
      <c r="F13" s="102">
        <f t="shared" si="1"/>
        <v>8995.9808156328036</v>
      </c>
      <c r="H13" s="30"/>
      <c r="I13" s="30"/>
      <c r="K13" s="101">
        <v>8</v>
      </c>
      <c r="L13" s="103">
        <f t="shared" si="4"/>
        <v>387.083480259</v>
      </c>
      <c r="M13" s="102">
        <f t="shared" si="3"/>
        <v>8995.9808156328036</v>
      </c>
      <c r="O13" s="150">
        <v>8</v>
      </c>
      <c r="P13" s="103">
        <f>'AV. crecer CP'!BD51</f>
        <v>7684.0920724376774</v>
      </c>
      <c r="Q13" s="103">
        <f>'AV. crecer CP'!BE51</f>
        <v>924.80526293613025</v>
      </c>
      <c r="R13" s="102">
        <f t="shared" si="2"/>
        <v>8995.9808156328072</v>
      </c>
      <c r="T13" s="30"/>
    </row>
    <row r="14" spans="1:35" ht="12" customHeight="1" x14ac:dyDescent="0.25">
      <c r="A14" s="101">
        <v>9</v>
      </c>
      <c r="B14" s="103">
        <f>'AV. crecer CP'!BD15</f>
        <v>8007.2507629114252</v>
      </c>
      <c r="C14" s="103">
        <f>'AV. crecer CP'!BE15</f>
        <v>981.12590344894056</v>
      </c>
      <c r="D14" s="103"/>
      <c r="E14" s="103">
        <f>'AV. crecer CP'!BF15</f>
        <v>387.083480259</v>
      </c>
      <c r="F14" s="102">
        <f t="shared" si="1"/>
        <v>9375.4601466193653</v>
      </c>
      <c r="H14" s="30"/>
      <c r="I14" s="30"/>
      <c r="K14" s="101">
        <v>9</v>
      </c>
      <c r="L14" s="103">
        <f t="shared" si="4"/>
        <v>387.083480259</v>
      </c>
      <c r="M14" s="102">
        <f t="shared" si="3"/>
        <v>9375.4601466193653</v>
      </c>
      <c r="O14" s="150">
        <v>9</v>
      </c>
      <c r="P14" s="103">
        <f>'AV. crecer CP'!BD52</f>
        <v>8007.250762911428</v>
      </c>
      <c r="Q14" s="103">
        <f>'AV. crecer CP'!BE52</f>
        <v>981.12590344894068</v>
      </c>
      <c r="R14" s="102">
        <f t="shared" si="2"/>
        <v>9375.460146619369</v>
      </c>
      <c r="T14" s="30"/>
    </row>
    <row r="15" spans="1:35" ht="12" customHeight="1" x14ac:dyDescent="0.25">
      <c r="A15" s="101">
        <v>10</v>
      </c>
      <c r="B15" s="103">
        <f>'AV. crecer CP'!BD16</f>
        <v>8298.5543651654443</v>
      </c>
      <c r="C15" s="103">
        <f>'AV. crecer CP'!BE16</f>
        <v>1040.876470968981</v>
      </c>
      <c r="D15" s="103"/>
      <c r="E15" s="103">
        <f>'AV. crecer CP'!BF16</f>
        <v>18969.2296894268</v>
      </c>
      <c r="F15" s="102">
        <f t="shared" si="1"/>
        <v>28308.660525561223</v>
      </c>
      <c r="H15" s="30"/>
      <c r="I15" s="30"/>
      <c r="K15" s="101">
        <v>10</v>
      </c>
      <c r="L15" s="103">
        <f>E15*(1+$M$3)</f>
        <v>18969.2296894268</v>
      </c>
      <c r="M15" s="102">
        <f t="shared" si="3"/>
        <v>28308.660525561223</v>
      </c>
      <c r="O15" s="150">
        <v>10</v>
      </c>
      <c r="P15" s="103">
        <f>'AV. crecer CP'!BD53</f>
        <v>8298.5543651654443</v>
      </c>
      <c r="Q15" s="103">
        <f>'AV. crecer CP'!BE53</f>
        <v>1040.8764709689813</v>
      </c>
      <c r="R15" s="102">
        <f t="shared" si="2"/>
        <v>28308.660525561227</v>
      </c>
      <c r="T15" s="30"/>
    </row>
    <row r="16" spans="1:35" ht="12" customHeight="1" x14ac:dyDescent="0.25">
      <c r="A16" s="101">
        <v>11</v>
      </c>
      <c r="B16" s="103">
        <f>'AV. crecer CP'!BD17</f>
        <v>8654.0202062862245</v>
      </c>
      <c r="C16" s="103">
        <f>'AV. crecer CP'!BE17</f>
        <v>1104.2658480509917</v>
      </c>
      <c r="D16" s="103"/>
      <c r="E16" s="103">
        <f>'AV. crecer CP'!BF17</f>
        <v>387.083480259</v>
      </c>
      <c r="F16" s="102">
        <f t="shared" si="1"/>
        <v>10145.369534596215</v>
      </c>
      <c r="H16" s="30"/>
      <c r="I16" s="30"/>
      <c r="K16" s="101">
        <v>11</v>
      </c>
      <c r="L16" s="103">
        <f t="shared" si="4"/>
        <v>387.083480259</v>
      </c>
      <c r="M16" s="102">
        <f t="shared" si="3"/>
        <v>10145.369534596215</v>
      </c>
      <c r="O16" s="150">
        <v>11</v>
      </c>
      <c r="P16" s="103">
        <f>'AV. crecer CP'!BD54</f>
        <v>8654.0202062862281</v>
      </c>
      <c r="Q16" s="103">
        <f>'AV. crecer CP'!BE54</f>
        <v>1104.265848050992</v>
      </c>
      <c r="R16" s="102">
        <f t="shared" si="2"/>
        <v>10145.369534596221</v>
      </c>
      <c r="T16" s="30"/>
    </row>
    <row r="17" spans="1:20" ht="12" customHeight="1" x14ac:dyDescent="0.25">
      <c r="A17" s="101">
        <v>12</v>
      </c>
      <c r="B17" s="103">
        <f>'AV. crecer CP'!BD18</f>
        <v>9027.8739256829886</v>
      </c>
      <c r="C17" s="103">
        <f>'AV. crecer CP'!BE18</f>
        <v>1171.5156381972972</v>
      </c>
      <c r="D17" s="103"/>
      <c r="E17" s="103">
        <f>'AV. crecer CP'!BF18</f>
        <v>387.083480259</v>
      </c>
      <c r="F17" s="102">
        <f t="shared" si="1"/>
        <v>10586.473044139286</v>
      </c>
      <c r="H17" s="30"/>
      <c r="I17" s="30"/>
      <c r="K17" s="101">
        <v>12</v>
      </c>
      <c r="L17" s="103">
        <f t="shared" si="4"/>
        <v>387.083480259</v>
      </c>
      <c r="M17" s="102">
        <f t="shared" si="3"/>
        <v>10586.473044139286</v>
      </c>
      <c r="O17" s="150">
        <v>12</v>
      </c>
      <c r="P17" s="103">
        <f>'AV. crecer CP'!BD55</f>
        <v>9027.8739256829904</v>
      </c>
      <c r="Q17" s="103">
        <f>'AV. crecer CP'!BE55</f>
        <v>1171.5156381972974</v>
      </c>
      <c r="R17" s="102">
        <f t="shared" si="2"/>
        <v>10586.473044139288</v>
      </c>
      <c r="T17" s="30"/>
    </row>
    <row r="18" spans="1:20" ht="12" customHeight="1" x14ac:dyDescent="0.25">
      <c r="A18" s="101">
        <v>13</v>
      </c>
      <c r="B18" s="103">
        <f>'AV. crecer CP'!BD19</f>
        <v>9431.7267501747428</v>
      </c>
      <c r="C18" s="103">
        <f>'AV. crecer CP'!BE19</f>
        <v>1242.8609405635127</v>
      </c>
      <c r="D18" s="103"/>
      <c r="E18" s="103">
        <f>'AV. crecer CP'!BF19</f>
        <v>387.083480259</v>
      </c>
      <c r="F18" s="102">
        <f t="shared" si="1"/>
        <v>11061.671170997255</v>
      </c>
      <c r="H18" s="30"/>
      <c r="I18" s="30"/>
      <c r="K18" s="101">
        <v>13</v>
      </c>
      <c r="L18" s="103">
        <f t="shared" si="4"/>
        <v>387.083480259</v>
      </c>
      <c r="M18" s="102">
        <f t="shared" si="3"/>
        <v>11061.671170997255</v>
      </c>
      <c r="O18" s="150">
        <v>13</v>
      </c>
      <c r="P18" s="103">
        <f>'AV. crecer CP'!BD56</f>
        <v>9431.7267501747447</v>
      </c>
      <c r="Q18" s="103">
        <f>'AV. crecer CP'!BE56</f>
        <v>1242.8609405635129</v>
      </c>
      <c r="R18" s="102">
        <f t="shared" si="2"/>
        <v>11061.671170997257</v>
      </c>
      <c r="T18" s="30"/>
    </row>
    <row r="19" spans="1:20" ht="12" customHeight="1" x14ac:dyDescent="0.25">
      <c r="A19" s="101">
        <v>14</v>
      </c>
      <c r="B19" s="103">
        <f>'AV. crecer CP'!BD20</f>
        <v>9784.0004791976171</v>
      </c>
      <c r="C19" s="103">
        <f>'AV. crecer CP'!BE20</f>
        <v>1318.5511718438306</v>
      </c>
      <c r="D19" s="103"/>
      <c r="E19" s="103">
        <f>'AV. crecer CP'!BF20</f>
        <v>387.083480259</v>
      </c>
      <c r="F19" s="102">
        <f t="shared" si="1"/>
        <v>11489.635131300447</v>
      </c>
      <c r="H19" s="30"/>
      <c r="I19" s="30"/>
      <c r="K19" s="101">
        <v>14</v>
      </c>
      <c r="L19" s="103">
        <f t="shared" si="4"/>
        <v>387.083480259</v>
      </c>
      <c r="M19" s="102">
        <f t="shared" si="3"/>
        <v>11489.635131300447</v>
      </c>
      <c r="O19" s="150">
        <v>14</v>
      </c>
      <c r="P19" s="103">
        <f>'AV. crecer CP'!BD57</f>
        <v>9784.0004791976207</v>
      </c>
      <c r="Q19" s="103">
        <f>'AV. crecer CP'!BE57</f>
        <v>1318.5511718438311</v>
      </c>
      <c r="R19" s="102">
        <f t="shared" si="2"/>
        <v>11489.635131300452</v>
      </c>
      <c r="T19" s="30"/>
    </row>
    <row r="20" spans="1:20" ht="12" customHeight="1" x14ac:dyDescent="0.25">
      <c r="A20" s="101">
        <v>15</v>
      </c>
      <c r="B20" s="103">
        <f>'AV. crecer CP'!BD21</f>
        <v>10229.755705395319</v>
      </c>
      <c r="C20" s="103">
        <f>'AV. crecer CP'!BE21</f>
        <v>1398.8509382091202</v>
      </c>
      <c r="D20" s="103"/>
      <c r="E20" s="103">
        <f>'AV. crecer CP'!BF21</f>
        <v>1632.9519128971999</v>
      </c>
      <c r="F20" s="102">
        <f t="shared" si="1"/>
        <v>13261.558556501639</v>
      </c>
      <c r="H20" s="30"/>
      <c r="I20" s="30"/>
      <c r="K20" s="101">
        <v>15</v>
      </c>
      <c r="L20" s="103">
        <f t="shared" si="4"/>
        <v>1632.9519128971999</v>
      </c>
      <c r="M20" s="102">
        <f t="shared" si="3"/>
        <v>13261.558556501639</v>
      </c>
      <c r="O20" s="150">
        <v>15</v>
      </c>
      <c r="P20" s="103">
        <f>'AV. crecer CP'!BD58</f>
        <v>10229.755705395321</v>
      </c>
      <c r="Q20" s="103">
        <f>'AV. crecer CP'!BE58</f>
        <v>1398.8509382091204</v>
      </c>
      <c r="R20" s="102">
        <f t="shared" si="2"/>
        <v>13261.558556501641</v>
      </c>
      <c r="T20" s="30"/>
    </row>
    <row r="21" spans="1:20" x14ac:dyDescent="0.25">
      <c r="F21" s="22">
        <f>-(F5+NPV(10%,F6:F20))</f>
        <v>-89483.880623591234</v>
      </c>
    </row>
    <row r="22" spans="1:20" x14ac:dyDescent="0.25">
      <c r="F22" s="182">
        <f>PMT(10%,31,F21)</f>
        <v>9440.2106200820563</v>
      </c>
    </row>
    <row r="28" spans="1:20" x14ac:dyDescent="0.25">
      <c r="D28" s="22"/>
    </row>
  </sheetData>
  <mergeCells count="5">
    <mergeCell ref="O3:R3"/>
    <mergeCell ref="A1:F1"/>
    <mergeCell ref="A3:F3"/>
    <mergeCell ref="H2:I2"/>
    <mergeCell ref="K3:L3"/>
  </mergeCells>
  <hyperlinks>
    <hyperlink ref="H2:I2" location="'DATOS DE EVALUACION'!A1" display="A la Página Principal.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zoomScale="80" zoomScaleNormal="80" workbookViewId="0">
      <selection activeCell="G27" sqref="G27"/>
    </sheetView>
  </sheetViews>
  <sheetFormatPr baseColWidth="10" defaultColWidth="11.42578125" defaultRowHeight="15" x14ac:dyDescent="0.25"/>
  <cols>
    <col min="1" max="1" width="11.42578125" style="69"/>
    <col min="2" max="3" width="18.7109375" style="69" customWidth="1"/>
    <col min="4" max="4" width="13.85546875" style="69" customWidth="1"/>
    <col min="5" max="5" width="15.28515625" style="69" customWidth="1"/>
    <col min="6" max="6" width="5.7109375" style="69" customWidth="1"/>
    <col min="7" max="7" width="13.42578125" style="69" customWidth="1"/>
    <col min="8" max="8" width="6.28515625" style="69" customWidth="1"/>
    <col min="9" max="9" width="2.7109375" style="69" customWidth="1"/>
    <col min="10" max="10" width="5" style="69" hidden="1" customWidth="1"/>
    <col min="11" max="11" width="14.28515625" style="69" hidden="1" customWidth="1"/>
    <col min="12" max="12" width="12.42578125" style="69" hidden="1" customWidth="1"/>
    <col min="13" max="13" width="2.7109375" style="69" hidden="1" customWidth="1"/>
    <col min="14" max="17" width="11.42578125" style="69" hidden="1" customWidth="1"/>
    <col min="18" max="18" width="1.5703125" style="69" hidden="1" customWidth="1"/>
    <col min="19" max="19" width="11.42578125" style="69" hidden="1" customWidth="1"/>
    <col min="20" max="20" width="2.7109375" style="69" hidden="1" customWidth="1"/>
    <col min="21" max="21" width="11.42578125" style="69" hidden="1" customWidth="1"/>
    <col min="22" max="22" width="12.28515625" style="69" hidden="1" customWidth="1"/>
    <col min="23" max="24" width="11.42578125" style="69" hidden="1" customWidth="1"/>
    <col min="25" max="25" width="12.28515625" style="69" hidden="1" customWidth="1"/>
    <col min="26" max="28" width="11.42578125" style="69" hidden="1" customWidth="1"/>
    <col min="29" max="29" width="13.42578125" style="69" hidden="1" customWidth="1"/>
    <col min="30" max="30" width="13" style="69" hidden="1" customWidth="1"/>
    <col min="31" max="33" width="11.42578125" style="69" hidden="1" customWidth="1"/>
    <col min="34" max="34" width="0" style="69" hidden="1" customWidth="1"/>
    <col min="35" max="16384" width="11.42578125" style="69"/>
  </cols>
  <sheetData>
    <row r="1" spans="1:45" ht="31.5" x14ac:dyDescent="0.25">
      <c r="A1" s="388" t="s">
        <v>147</v>
      </c>
      <c r="B1" s="388"/>
      <c r="C1" s="388"/>
      <c r="D1" s="388"/>
      <c r="E1" s="388"/>
      <c r="F1" s="100"/>
      <c r="G1" s="100"/>
      <c r="H1" s="100"/>
      <c r="I1" s="255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</row>
    <row r="2" spans="1:45" x14ac:dyDescent="0.25">
      <c r="G2" s="390" t="s">
        <v>95</v>
      </c>
      <c r="H2" s="390"/>
      <c r="I2" s="186"/>
    </row>
    <row r="3" spans="1:45" x14ac:dyDescent="0.25">
      <c r="A3" s="391" t="s">
        <v>83</v>
      </c>
      <c r="B3" s="391"/>
      <c r="C3" s="391"/>
      <c r="D3" s="391"/>
      <c r="E3" s="391"/>
      <c r="I3" s="186"/>
    </row>
    <row r="4" spans="1:45" ht="15.75" x14ac:dyDescent="0.25">
      <c r="A4" s="392" t="s">
        <v>59</v>
      </c>
      <c r="B4" s="394" t="s">
        <v>84</v>
      </c>
      <c r="C4" s="394"/>
      <c r="D4" s="394"/>
      <c r="E4" s="394"/>
      <c r="I4" s="186"/>
      <c r="J4" s="389" t="s">
        <v>117</v>
      </c>
      <c r="K4" s="389"/>
      <c r="L4" s="252">
        <f>'COSTOS TOTALES CP'!M3</f>
        <v>0</v>
      </c>
      <c r="N4" s="392" t="s">
        <v>59</v>
      </c>
      <c r="O4" s="394" t="s">
        <v>84</v>
      </c>
      <c r="P4" s="394"/>
      <c r="Q4" s="394"/>
      <c r="V4" s="395" t="s">
        <v>124</v>
      </c>
      <c r="W4" s="395"/>
      <c r="X4" s="395"/>
      <c r="Y4" s="395" t="s">
        <v>125</v>
      </c>
      <c r="Z4" s="395"/>
      <c r="AA4" s="395"/>
      <c r="AB4" s="130"/>
      <c r="AC4" s="130"/>
      <c r="AD4" s="130"/>
      <c r="AE4" s="130"/>
    </row>
    <row r="5" spans="1:45" ht="15.75" thickBot="1" x14ac:dyDescent="0.3">
      <c r="A5" s="393"/>
      <c r="B5" s="206" t="s">
        <v>75</v>
      </c>
      <c r="C5" s="206" t="s">
        <v>76</v>
      </c>
      <c r="D5" s="206" t="s">
        <v>80</v>
      </c>
      <c r="E5" s="206" t="s">
        <v>78</v>
      </c>
      <c r="G5" s="211" t="s">
        <v>85</v>
      </c>
      <c r="I5" s="186"/>
      <c r="J5" s="248" t="s">
        <v>59</v>
      </c>
      <c r="K5" s="206" t="s">
        <v>80</v>
      </c>
      <c r="L5" s="206" t="s">
        <v>78</v>
      </c>
      <c r="N5" s="393"/>
      <c r="O5" s="206" t="s">
        <v>75</v>
      </c>
      <c r="P5" s="206" t="s">
        <v>76</v>
      </c>
      <c r="Q5" s="206" t="s">
        <v>78</v>
      </c>
      <c r="S5" s="211" t="s">
        <v>85</v>
      </c>
      <c r="V5" s="130" t="s">
        <v>126</v>
      </c>
      <c r="W5" s="130" t="s">
        <v>127</v>
      </c>
      <c r="X5" s="130" t="s">
        <v>128</v>
      </c>
      <c r="Y5" s="130" t="s">
        <v>126</v>
      </c>
      <c r="Z5" s="130" t="s">
        <v>127</v>
      </c>
      <c r="AA5" s="130" t="s">
        <v>128</v>
      </c>
      <c r="AB5" s="130" t="s">
        <v>85</v>
      </c>
      <c r="AC5" s="130" t="s">
        <v>100</v>
      </c>
      <c r="AD5" s="130" t="s">
        <v>129</v>
      </c>
      <c r="AE5" s="130" t="s">
        <v>24</v>
      </c>
      <c r="AF5" s="69" t="s">
        <v>22</v>
      </c>
    </row>
    <row r="6" spans="1:45" s="33" customFormat="1" ht="12" customHeight="1" thickTop="1" x14ac:dyDescent="0.25">
      <c r="A6" s="174">
        <v>0</v>
      </c>
      <c r="B6" s="107">
        <f>'COSTOS TOTALES SP'!B5-'COSTOS TOTALES CP'!B5</f>
        <v>22218.152185528954</v>
      </c>
      <c r="C6" s="107">
        <f>'COSTOS TOTALES SP'!C5-'COSTOS TOTALES CP'!C5</f>
        <v>2884.0342293074596</v>
      </c>
      <c r="D6" s="104">
        <f>'COSTOS TOTALES SP'!D5-'COSTOS TOTALES CP'!E5</f>
        <v>0</v>
      </c>
      <c r="E6" s="104">
        <f>SUM(B6:D6)</f>
        <v>25102.186414836415</v>
      </c>
      <c r="G6" s="107">
        <f>SUM(B6:C6)</f>
        <v>25102.186414836415</v>
      </c>
      <c r="I6" s="186"/>
      <c r="J6" s="174">
        <v>0</v>
      </c>
      <c r="K6" s="107">
        <f>'COSTOS TOTALES SP'!D5-'COSTOS TOTALES CP'!L5</f>
        <v>0</v>
      </c>
      <c r="L6" s="107">
        <f>$B$6+$C$6+K6</f>
        <v>25102.186414836415</v>
      </c>
      <c r="N6" s="174">
        <v>0</v>
      </c>
      <c r="O6" s="104">
        <f>'COSTOS TOTALES SP'!K5-'COSTOS TOTALES CP'!P5</f>
        <v>22218.152185528954</v>
      </c>
      <c r="P6" s="104">
        <f>'COSTOS TOTALES SP'!L5-'COSTOS TOTALES CP'!Q5</f>
        <v>2884.0342293074596</v>
      </c>
      <c r="Q6" s="104">
        <f>SUM(O6:P6)+D6</f>
        <v>25102.186414836415</v>
      </c>
      <c r="S6" s="104">
        <f>SUM(O6:P6)</f>
        <v>25102.186414836415</v>
      </c>
      <c r="U6" s="33">
        <v>2019</v>
      </c>
      <c r="V6" s="30">
        <f>'COSTOS TOTALES SP'!B5+'COSTOS TOTALES SP'!C5</f>
        <v>31297.911745611018</v>
      </c>
      <c r="W6" s="33">
        <v>2528.874466736077</v>
      </c>
      <c r="X6" s="30">
        <f>V6+W6</f>
        <v>33826.786212347099</v>
      </c>
      <c r="Y6" s="30">
        <f>'COSTOS TOTALES CP'!B5+'COSTOS TOTALES CP'!C5</f>
        <v>6195.7253307746068</v>
      </c>
      <c r="Z6" s="33">
        <v>1179.4737062185138</v>
      </c>
      <c r="AA6" s="33">
        <f>Y6+Z6</f>
        <v>7375.1990369931209</v>
      </c>
      <c r="AB6" s="33">
        <f>X6-AA6</f>
        <v>26451.587175353976</v>
      </c>
      <c r="AC6" s="181">
        <f>-'DATOS DE EVALUACION'!P20-'COSTOS TOTALES CP'!D5</f>
        <v>-102260.12280000001</v>
      </c>
      <c r="AD6" s="181">
        <f>AB6+AC6</f>
        <v>-75808.535624646029</v>
      </c>
    </row>
    <row r="7" spans="1:45" ht="12" customHeight="1" x14ac:dyDescent="0.25">
      <c r="A7" s="101">
        <v>1</v>
      </c>
      <c r="B7" s="107">
        <f>'COSTOS TOTALES SP'!B6-'COSTOS TOTALES CP'!B6</f>
        <v>23267.482995505208</v>
      </c>
      <c r="C7" s="107">
        <f>'COSTOS TOTALES SP'!C6-'COSTOS TOTALES CP'!C6</f>
        <v>3059.6719138722838</v>
      </c>
      <c r="D7" s="104">
        <f>'COSTOS TOTALES SP'!D6-'COSTOS TOTALES CP'!E6</f>
        <v>442.85068831242847</v>
      </c>
      <c r="E7" s="104">
        <f t="shared" ref="E7:E19" si="0">SUM(B7:D7)</f>
        <v>26770.00559768992</v>
      </c>
      <c r="G7" s="107">
        <f>SUM(B7:C7)</f>
        <v>26327.154909377492</v>
      </c>
      <c r="I7" s="186"/>
      <c r="J7" s="101">
        <v>1</v>
      </c>
      <c r="K7" s="107">
        <f>'COSTOS TOTALES SP'!D6-'COSTOS TOTALES CP'!L6</f>
        <v>442.85068831242847</v>
      </c>
      <c r="L7" s="106">
        <f>$B$7+$C$7+K7</f>
        <v>26770.00559768992</v>
      </c>
      <c r="N7" s="150">
        <v>1</v>
      </c>
      <c r="O7" s="104">
        <f>'COSTOS TOTALES SP'!K6-'COSTOS TOTALES CP'!P6</f>
        <v>23267.482995505208</v>
      </c>
      <c r="P7" s="104">
        <f>'COSTOS TOTALES SP'!L6-'COSTOS TOTALES CP'!Q6</f>
        <v>3059.6719138722847</v>
      </c>
      <c r="Q7" s="104">
        <f>SUM(O7:P7)+D7</f>
        <v>26770.00559768992</v>
      </c>
      <c r="S7" s="104">
        <f>SUM(O7:P7)</f>
        <v>26327.154909377492</v>
      </c>
      <c r="U7" s="69">
        <v>2020</v>
      </c>
      <c r="V7" s="30">
        <f>'COSTOS TOTALES SP'!B6+'COSTOS TOTALES SP'!C6</f>
        <v>32763.522486276521</v>
      </c>
      <c r="W7" s="33">
        <v>2528.874466736077</v>
      </c>
      <c r="X7" s="33">
        <f t="shared" ref="X7:X19" si="1">V7+W7</f>
        <v>35292.396953012598</v>
      </c>
      <c r="Y7" s="30">
        <f>'COSTOS TOTALES CP'!B6+'COSTOS TOTALES CP'!C6</f>
        <v>6436.3675768990297</v>
      </c>
      <c r="Z7" s="33">
        <v>1179.4737062185138</v>
      </c>
      <c r="AA7" s="33">
        <f t="shared" ref="AA7:AA21" si="2">Y7+Z7</f>
        <v>7615.8412831175438</v>
      </c>
      <c r="AB7" s="69">
        <f t="shared" ref="AB7:AB21" si="3">X7-AA7</f>
        <v>27676.555669895053</v>
      </c>
      <c r="AC7" s="181"/>
      <c r="AD7" s="69">
        <f t="shared" ref="AD7:AD21" si="4">AB7+AC7</f>
        <v>27676.555669895053</v>
      </c>
      <c r="AE7" s="130">
        <f>-(AD7/(($AC$6/1.1)))</f>
        <v>0.29771342340774654</v>
      </c>
      <c r="AF7" s="183">
        <f>AE7</f>
        <v>0.29771342340774654</v>
      </c>
    </row>
    <row r="8" spans="1:45" ht="12" customHeight="1" x14ac:dyDescent="0.25">
      <c r="A8" s="101">
        <v>2</v>
      </c>
      <c r="B8" s="107">
        <f>'COSTOS TOTALES SP'!B7-'COSTOS TOTALES CP'!B7</f>
        <v>24283.21496910492</v>
      </c>
      <c r="C8" s="107">
        <f>'COSTOS TOTALES SP'!C7-'COSTOS TOTALES CP'!C7</f>
        <v>3246.0059334271064</v>
      </c>
      <c r="D8" s="104">
        <f>'COSTOS TOTALES SP'!D7-'COSTOS TOTALES CP'!E7</f>
        <v>442.85068831242847</v>
      </c>
      <c r="E8" s="104">
        <f t="shared" si="0"/>
        <v>27972.071590844454</v>
      </c>
      <c r="G8" s="107">
        <f t="shared" ref="G8:G20" si="5">SUM(B8:C8)</f>
        <v>27529.220902532026</v>
      </c>
      <c r="I8" s="186"/>
      <c r="J8" s="101">
        <v>2</v>
      </c>
      <c r="K8" s="107">
        <f>'COSTOS TOTALES SP'!D7-'COSTOS TOTALES CP'!L7</f>
        <v>442.85068831242847</v>
      </c>
      <c r="L8" s="106">
        <f>$B$8+$C$8+K8</f>
        <v>27972.071590844454</v>
      </c>
      <c r="N8" s="150">
        <v>2</v>
      </c>
      <c r="O8" s="104">
        <f>'COSTOS TOTALES SP'!K7-'COSTOS TOTALES CP'!P7</f>
        <v>24283.214969104909</v>
      </c>
      <c r="P8" s="104">
        <f>'COSTOS TOTALES SP'!L7-'COSTOS TOTALES CP'!Q7</f>
        <v>3246.0059334271064</v>
      </c>
      <c r="Q8" s="104">
        <f t="shared" ref="Q8:Q21" si="6">SUM(O8:P8)+D8</f>
        <v>27972.071590844444</v>
      </c>
      <c r="S8" s="104">
        <f>SUM(O8:P8)</f>
        <v>27529.220902532015</v>
      </c>
      <c r="U8" s="33">
        <v>2021</v>
      </c>
      <c r="V8" s="30">
        <f>'COSTOS TOTALES SP'!B7+'COSTOS TOTALES SP'!C7</f>
        <v>34239.300712203374</v>
      </c>
      <c r="W8" s="33">
        <v>2528.874466736077</v>
      </c>
      <c r="X8" s="33">
        <f t="shared" si="1"/>
        <v>36768.175178939448</v>
      </c>
      <c r="Y8" s="30">
        <f>'COSTOS TOTALES CP'!B7+'COSTOS TOTALES CP'!C7</f>
        <v>6710.0798096713452</v>
      </c>
      <c r="Z8" s="33">
        <v>1179.4737062185138</v>
      </c>
      <c r="AA8" s="33">
        <f t="shared" si="2"/>
        <v>7889.5535158898592</v>
      </c>
      <c r="AB8" s="69">
        <f t="shared" si="3"/>
        <v>28878.621663049587</v>
      </c>
      <c r="AC8" s="181"/>
      <c r="AD8" s="69">
        <f t="shared" si="4"/>
        <v>28878.621663049587</v>
      </c>
      <c r="AE8" s="130">
        <f t="shared" ref="AE8:AE21" si="7">-(AD8/(($AC$6/1.1)))</f>
        <v>0.3106439045793376</v>
      </c>
      <c r="AF8" s="183">
        <f t="shared" ref="AF8:AF21" si="8">AE8</f>
        <v>0.3106439045793376</v>
      </c>
    </row>
    <row r="9" spans="1:45" ht="12" customHeight="1" x14ac:dyDescent="0.25">
      <c r="A9" s="101">
        <v>3</v>
      </c>
      <c r="B9" s="107">
        <f>'COSTOS TOTALES SP'!B8-'COSTOS TOTALES CP'!B8</f>
        <v>25226.253732600504</v>
      </c>
      <c r="C9" s="107">
        <f>'COSTOS TOTALES SP'!C8-'COSTOS TOTALES CP'!C8</f>
        <v>3443.6876947728169</v>
      </c>
      <c r="D9" s="104">
        <f>'COSTOS TOTALES SP'!D8-'COSTOS TOTALES CP'!E8</f>
        <v>442.85068831242847</v>
      </c>
      <c r="E9" s="104">
        <f>SUM(B9:D9)</f>
        <v>29112.792115685748</v>
      </c>
      <c r="G9" s="263">
        <f t="shared" si="5"/>
        <v>28669.94142737332</v>
      </c>
      <c r="I9" s="186"/>
      <c r="J9" s="101">
        <v>3</v>
      </c>
      <c r="K9" s="107">
        <f>'COSTOS TOTALES SP'!D8-'COSTOS TOTALES CP'!L8</f>
        <v>442.85068831242847</v>
      </c>
      <c r="L9" s="106">
        <f t="shared" ref="L9:L21" si="9">B9+C9+K9</f>
        <v>29112.792115685748</v>
      </c>
      <c r="N9" s="150">
        <v>3</v>
      </c>
      <c r="O9" s="104">
        <f>'COSTOS TOTALES SP'!K8-'COSTOS TOTALES CP'!P8</f>
        <v>25226.253732600504</v>
      </c>
      <c r="P9" s="104">
        <f>'COSTOS TOTALES SP'!L8-'COSTOS TOTALES CP'!Q8</f>
        <v>3443.687694772816</v>
      </c>
      <c r="Q9" s="104">
        <f t="shared" si="6"/>
        <v>29112.792115685748</v>
      </c>
      <c r="S9" s="104">
        <f t="shared" ref="S9:S21" si="10">SUM(O9:P9)</f>
        <v>28669.94142737332</v>
      </c>
      <c r="U9" s="130">
        <v>2022</v>
      </c>
      <c r="V9" s="30">
        <f>'COSTOS TOTALES SP'!B8+'COSTOS TOTALES SP'!C8</f>
        <v>35650.967151307203</v>
      </c>
      <c r="W9" s="33">
        <v>2528.874466736077</v>
      </c>
      <c r="X9" s="33">
        <f t="shared" si="1"/>
        <v>38179.841618043283</v>
      </c>
      <c r="Y9" s="30">
        <f>'COSTOS TOTALES CP'!B8+'COSTOS TOTALES CP'!C8</f>
        <v>6981.0257239338789</v>
      </c>
      <c r="Z9" s="33">
        <v>1179.4737062185138</v>
      </c>
      <c r="AA9" s="33">
        <f t="shared" si="2"/>
        <v>8160.499430152393</v>
      </c>
      <c r="AB9" s="69">
        <f t="shared" si="3"/>
        <v>30019.342187890892</v>
      </c>
      <c r="AD9" s="69">
        <f t="shared" si="4"/>
        <v>30019.342187890892</v>
      </c>
      <c r="AE9" s="130">
        <f t="shared" si="7"/>
        <v>0.32291449983159987</v>
      </c>
      <c r="AF9" s="183">
        <f t="shared" si="8"/>
        <v>0.32291449983159987</v>
      </c>
    </row>
    <row r="10" spans="1:45" ht="12" customHeight="1" x14ac:dyDescent="0.25">
      <c r="A10" s="101">
        <v>4</v>
      </c>
      <c r="B10" s="107">
        <f>'COSTOS TOTALES SP'!B9-'COSTOS TOTALES CP'!B9</f>
        <v>26320.81788471133</v>
      </c>
      <c r="C10" s="107">
        <f>'COSTOS TOTALES SP'!C9-'COSTOS TOTALES CP'!C9</f>
        <v>3653.4082753844814</v>
      </c>
      <c r="D10" s="104">
        <f>'COSTOS TOTALES SP'!D9-'COSTOS TOTALES CP'!E9</f>
        <v>442.85068831242847</v>
      </c>
      <c r="E10" s="104">
        <f t="shared" si="0"/>
        <v>30417.07684840824</v>
      </c>
      <c r="G10" s="263">
        <f t="shared" si="5"/>
        <v>29974.226160095812</v>
      </c>
      <c r="I10" s="186"/>
      <c r="J10" s="101">
        <v>4</v>
      </c>
      <c r="K10" s="107">
        <f>'COSTOS TOTALES SP'!D9-'COSTOS TOTALES CP'!L9</f>
        <v>442.85068831242847</v>
      </c>
      <c r="L10" s="106">
        <f t="shared" si="9"/>
        <v>30417.07684840824</v>
      </c>
      <c r="N10" s="150">
        <v>4</v>
      </c>
      <c r="O10" s="104">
        <f>'COSTOS TOTALES SP'!K9-'COSTOS TOTALES CP'!P9</f>
        <v>26320.817884711327</v>
      </c>
      <c r="P10" s="104">
        <f>'COSTOS TOTALES SP'!L9-'COSTOS TOTALES CP'!Q9</f>
        <v>3653.4082753844805</v>
      </c>
      <c r="Q10" s="104">
        <f t="shared" si="6"/>
        <v>30417.076848408236</v>
      </c>
      <c r="S10" s="104">
        <f t="shared" si="10"/>
        <v>29974.226160095808</v>
      </c>
      <c r="U10" s="33">
        <v>2023</v>
      </c>
      <c r="V10" s="30">
        <f>'COSTOS TOTALES SP'!B9+'COSTOS TOTALES SP'!C9</f>
        <v>37243.045537477527</v>
      </c>
      <c r="W10" s="33">
        <v>2528.874466736077</v>
      </c>
      <c r="X10" s="33">
        <f t="shared" si="1"/>
        <v>39771.920004213607</v>
      </c>
      <c r="Y10" s="30">
        <f>'COSTOS TOTALES CP'!B9+'COSTOS TOTALES CP'!C9</f>
        <v>7268.8193773817193</v>
      </c>
      <c r="Z10" s="33">
        <v>1179.4737062185138</v>
      </c>
      <c r="AA10" s="33">
        <f t="shared" si="2"/>
        <v>8448.2930836002324</v>
      </c>
      <c r="AB10" s="69">
        <f t="shared" si="3"/>
        <v>31323.626920613373</v>
      </c>
      <c r="AD10" s="69">
        <f t="shared" si="4"/>
        <v>31323.626920613373</v>
      </c>
      <c r="AE10" s="130">
        <f t="shared" si="7"/>
        <v>0.33694453584867695</v>
      </c>
      <c r="AF10" s="183">
        <f t="shared" si="8"/>
        <v>0.33694453584867695</v>
      </c>
    </row>
    <row r="11" spans="1:45" ht="12" customHeight="1" x14ac:dyDescent="0.25">
      <c r="A11" s="101">
        <v>5</v>
      </c>
      <c r="B11" s="107">
        <f>'COSTOS TOTALES SP'!B10-'COSTOS TOTALES CP'!B10</f>
        <v>27361.14748699273</v>
      </c>
      <c r="C11" s="107">
        <f>'COSTOS TOTALES SP'!C10-'COSTOS TOTALES CP'!C10</f>
        <v>3875.900839355395</v>
      </c>
      <c r="D11" s="104">
        <f>'COSTOS TOTALES SP'!D10-'COSTOS TOTALES CP'!E10</f>
        <v>1868.2116791028004</v>
      </c>
      <c r="E11" s="104">
        <f t="shared" si="0"/>
        <v>33105.260005450924</v>
      </c>
      <c r="G11" s="263">
        <f t="shared" si="5"/>
        <v>31237.048326348126</v>
      </c>
      <c r="I11" s="186"/>
      <c r="J11" s="101">
        <v>5</v>
      </c>
      <c r="K11" s="107">
        <f>'COSTOS TOTALES SP'!D10-'COSTOS TOTALES CP'!L10</f>
        <v>1868.2116791028004</v>
      </c>
      <c r="L11" s="106">
        <f t="shared" si="9"/>
        <v>33105.260005450924</v>
      </c>
      <c r="N11" s="150">
        <v>5</v>
      </c>
      <c r="O11" s="104">
        <f>'COSTOS TOTALES SP'!K10-'COSTOS TOTALES CP'!P10</f>
        <v>27361.147486992726</v>
      </c>
      <c r="P11" s="104">
        <f>'COSTOS TOTALES SP'!L10-'COSTOS TOTALES CP'!Q10</f>
        <v>3875.900839355395</v>
      </c>
      <c r="Q11" s="104">
        <f t="shared" si="6"/>
        <v>33105.260005450924</v>
      </c>
      <c r="S11" s="104">
        <f t="shared" si="10"/>
        <v>31237.048326348122</v>
      </c>
      <c r="U11" s="130">
        <v>2024</v>
      </c>
      <c r="V11" s="30">
        <f>'COSTOS TOTALES SP'!B10+'COSTOS TOTALES SP'!C10</f>
        <v>38803.259240432875</v>
      </c>
      <c r="W11" s="33">
        <v>2528.874466736077</v>
      </c>
      <c r="X11" s="33">
        <f t="shared" si="1"/>
        <v>41332.133707168949</v>
      </c>
      <c r="Y11" s="30">
        <f>'COSTOS TOTALES CP'!B10+'COSTOS TOTALES CP'!C10</f>
        <v>7566.2109140847542</v>
      </c>
      <c r="Z11" s="33">
        <v>1179.4737062185138</v>
      </c>
      <c r="AA11" s="33">
        <f t="shared" si="2"/>
        <v>8745.6846203032674</v>
      </c>
      <c r="AB11" s="69">
        <f t="shared" si="3"/>
        <v>32586.449086865679</v>
      </c>
      <c r="AD11" s="69">
        <f t="shared" si="4"/>
        <v>32586.449086865679</v>
      </c>
      <c r="AE11" s="130">
        <f t="shared" si="7"/>
        <v>0.35052856396092891</v>
      </c>
      <c r="AF11" s="183">
        <f t="shared" si="8"/>
        <v>0.35052856396092891</v>
      </c>
    </row>
    <row r="12" spans="1:45" ht="12" customHeight="1" x14ac:dyDescent="0.25">
      <c r="A12" s="101">
        <v>6</v>
      </c>
      <c r="B12" s="107">
        <f>'COSTOS TOTALES SP'!B11-'COSTOS TOTALES CP'!B11</f>
        <v>28731.377235194897</v>
      </c>
      <c r="C12" s="107">
        <f>'COSTOS TOTALES SP'!C11-'COSTOS TOTALES CP'!C11</f>
        <v>4111.9432004721402</v>
      </c>
      <c r="D12" s="104">
        <f>'COSTOS TOTALES SP'!D11-'COSTOS TOTALES CP'!E11</f>
        <v>442.85068831242847</v>
      </c>
      <c r="E12" s="104">
        <f t="shared" si="0"/>
        <v>33286.171123979468</v>
      </c>
      <c r="G12" s="263">
        <f t="shared" si="5"/>
        <v>32843.320435667039</v>
      </c>
      <c r="I12" s="186"/>
      <c r="J12" s="101">
        <v>6</v>
      </c>
      <c r="K12" s="107">
        <f>'COSTOS TOTALES SP'!D11-'COSTOS TOTALES CP'!L11</f>
        <v>442.85068831242847</v>
      </c>
      <c r="L12" s="106">
        <f t="shared" si="9"/>
        <v>33286.171123979468</v>
      </c>
      <c r="N12" s="150">
        <v>6</v>
      </c>
      <c r="O12" s="104">
        <f>'COSTOS TOTALES SP'!K11-'COSTOS TOTALES CP'!P11</f>
        <v>28731.377235194901</v>
      </c>
      <c r="P12" s="104">
        <f>'COSTOS TOTALES SP'!L11-'COSTOS TOTALES CP'!Q11</f>
        <v>4111.9432004721402</v>
      </c>
      <c r="Q12" s="104">
        <f t="shared" si="6"/>
        <v>33286.171123979468</v>
      </c>
      <c r="S12" s="104">
        <f t="shared" si="10"/>
        <v>32843.320435667039</v>
      </c>
      <c r="U12" s="33">
        <v>2025</v>
      </c>
      <c r="V12" s="30">
        <f>'COSTOS TOTALES SP'!B11+'COSTOS TOTALES SP'!C11</f>
        <v>40725.398528176578</v>
      </c>
      <c r="W12" s="33">
        <v>2528.874466736077</v>
      </c>
      <c r="X12" s="33">
        <f t="shared" si="1"/>
        <v>43254.272994912651</v>
      </c>
      <c r="Y12" s="30">
        <f>'COSTOS TOTALES CP'!B11+'COSTOS TOTALES CP'!C11</f>
        <v>7882.0780925095432</v>
      </c>
      <c r="Z12" s="33">
        <v>1179.4737062185138</v>
      </c>
      <c r="AA12" s="33">
        <f t="shared" si="2"/>
        <v>9061.5517987280564</v>
      </c>
      <c r="AB12" s="69">
        <f t="shared" si="3"/>
        <v>34192.721196184597</v>
      </c>
      <c r="AD12" s="69">
        <f t="shared" si="4"/>
        <v>34192.721196184597</v>
      </c>
      <c r="AE12" s="130">
        <f t="shared" si="7"/>
        <v>0.36780704233422895</v>
      </c>
      <c r="AF12" s="183">
        <f t="shared" si="8"/>
        <v>0.36780704233422895</v>
      </c>
    </row>
    <row r="13" spans="1:45" ht="12" customHeight="1" x14ac:dyDescent="0.25">
      <c r="A13" s="101">
        <v>7</v>
      </c>
      <c r="B13" s="107">
        <f>'COSTOS TOTALES SP'!B12-'COSTOS TOTALES CP'!B12</f>
        <v>30066.179960223271</v>
      </c>
      <c r="C13" s="107">
        <f>'COSTOS TOTALES SP'!C12-'COSTOS TOTALES CP'!C12</f>
        <v>4362.3605413808928</v>
      </c>
      <c r="D13" s="104">
        <f>'COSTOS TOTALES SP'!D12-'COSTOS TOTALES CP'!E12</f>
        <v>442.85068831242847</v>
      </c>
      <c r="E13" s="104">
        <f t="shared" si="0"/>
        <v>34871.391189916591</v>
      </c>
      <c r="G13" s="263">
        <f t="shared" si="5"/>
        <v>34428.540501604162</v>
      </c>
      <c r="I13" s="186"/>
      <c r="J13" s="101">
        <v>7</v>
      </c>
      <c r="K13" s="107">
        <f>'COSTOS TOTALES SP'!D12-'COSTOS TOTALES CP'!L12</f>
        <v>442.85068831242847</v>
      </c>
      <c r="L13" s="106">
        <f t="shared" si="9"/>
        <v>34871.391189916591</v>
      </c>
      <c r="N13" s="150">
        <v>7</v>
      </c>
      <c r="O13" s="104">
        <f>'COSTOS TOTALES SP'!K12-'COSTOS TOTALES CP'!P12</f>
        <v>30066.179960223271</v>
      </c>
      <c r="P13" s="104">
        <f>'COSTOS TOTALES SP'!L12-'COSTOS TOTALES CP'!Q12</f>
        <v>4362.3605413808928</v>
      </c>
      <c r="Q13" s="104">
        <f t="shared" si="6"/>
        <v>34871.391189916591</v>
      </c>
      <c r="S13" s="104">
        <f t="shared" si="10"/>
        <v>34428.540501604162</v>
      </c>
      <c r="U13" s="130">
        <v>2026</v>
      </c>
      <c r="V13" s="30">
        <f>'COSTOS TOTALES SP'!B12+'COSTOS TOTALES SP'!C12</f>
        <v>42681.070761935058</v>
      </c>
      <c r="W13" s="33">
        <v>2528.874466736077</v>
      </c>
      <c r="X13" s="33">
        <f t="shared" si="1"/>
        <v>45209.945228671131</v>
      </c>
      <c r="Y13" s="30">
        <f>'COSTOS TOTALES CP'!B12+'COSTOS TOTALES CP'!C12</f>
        <v>8252.5302603308883</v>
      </c>
      <c r="Z13" s="33">
        <v>1179.4737062185138</v>
      </c>
      <c r="AA13" s="33">
        <f t="shared" si="2"/>
        <v>9432.0039665494023</v>
      </c>
      <c r="AB13" s="69">
        <f t="shared" si="3"/>
        <v>35777.941262121727</v>
      </c>
      <c r="AD13" s="69">
        <f t="shared" si="4"/>
        <v>35777.941262121727</v>
      </c>
      <c r="AE13" s="130">
        <f t="shared" si="7"/>
        <v>0.38485906637630107</v>
      </c>
      <c r="AF13" s="183">
        <f t="shared" si="8"/>
        <v>0.38485906637630107</v>
      </c>
    </row>
    <row r="14" spans="1:45" ht="12" customHeight="1" x14ac:dyDescent="0.25">
      <c r="A14" s="101">
        <v>8</v>
      </c>
      <c r="B14" s="107">
        <f>'COSTOS TOTALES SP'!B13-'COSTOS TOTALES CP'!B13</f>
        <v>31302.312978337268</v>
      </c>
      <c r="C14" s="107">
        <f>'COSTOS TOTALES SP'!C13-'COSTOS TOTALES CP'!C13</f>
        <v>4628.0282983509906</v>
      </c>
      <c r="D14" s="104">
        <f>'COSTOS TOTALES SP'!D13-'COSTOS TOTALES CP'!E13</f>
        <v>442.85068831242847</v>
      </c>
      <c r="E14" s="104">
        <f t="shared" si="0"/>
        <v>36373.191965000689</v>
      </c>
      <c r="G14" s="263">
        <f t="shared" si="5"/>
        <v>35930.341276688261</v>
      </c>
      <c r="I14" s="186"/>
      <c r="J14" s="101">
        <v>8</v>
      </c>
      <c r="K14" s="107">
        <f>'COSTOS TOTALES SP'!D13-'COSTOS TOTALES CP'!L13</f>
        <v>442.85068831242847</v>
      </c>
      <c r="L14" s="106">
        <f t="shared" si="9"/>
        <v>36373.191965000689</v>
      </c>
      <c r="N14" s="150">
        <v>8</v>
      </c>
      <c r="O14" s="104">
        <f>'COSTOS TOTALES SP'!K13-'COSTOS TOTALES CP'!P13</f>
        <v>31302.312978337264</v>
      </c>
      <c r="P14" s="104">
        <f>'COSTOS TOTALES SP'!L13-'COSTOS TOTALES CP'!Q13</f>
        <v>4628.0282983509906</v>
      </c>
      <c r="Q14" s="104">
        <f t="shared" si="6"/>
        <v>36373.191965000682</v>
      </c>
      <c r="S14" s="104">
        <f t="shared" si="10"/>
        <v>35930.341276688254</v>
      </c>
      <c r="U14" s="33">
        <v>2027</v>
      </c>
      <c r="V14" s="30">
        <f>'COSTOS TOTALES SP'!B13+'COSTOS TOTALES SP'!C13</f>
        <v>44539.238612062065</v>
      </c>
      <c r="W14" s="33">
        <v>2528.874466736077</v>
      </c>
      <c r="X14" s="33">
        <f t="shared" si="1"/>
        <v>47068.113078798138</v>
      </c>
      <c r="Y14" s="30">
        <f>'COSTOS TOTALES CP'!B13+'COSTOS TOTALES CP'!C13</f>
        <v>8608.8973353738038</v>
      </c>
      <c r="Z14" s="33">
        <v>1179.4737062185138</v>
      </c>
      <c r="AA14" s="33">
        <f t="shared" si="2"/>
        <v>9788.3710415923179</v>
      </c>
      <c r="AB14" s="33">
        <f t="shared" si="3"/>
        <v>37279.742037205819</v>
      </c>
      <c r="AC14" s="33"/>
      <c r="AD14" s="33">
        <f t="shared" si="4"/>
        <v>37279.742037205819</v>
      </c>
      <c r="AE14" s="130">
        <f t="shared" si="7"/>
        <v>0.4010137590107255</v>
      </c>
      <c r="AF14" s="183">
        <f t="shared" si="8"/>
        <v>0.4010137590107255</v>
      </c>
    </row>
    <row r="15" spans="1:45" ht="12" customHeight="1" x14ac:dyDescent="0.25">
      <c r="A15" s="101">
        <v>9</v>
      </c>
      <c r="B15" s="107">
        <f>'COSTOS TOTALES SP'!B14-'COSTOS TOTALES CP'!B14</f>
        <v>32601.098281273175</v>
      </c>
      <c r="C15" s="107">
        <f>'COSTOS TOTALES SP'!C14-'COSTOS TOTALES CP'!C14</f>
        <v>4909.8752217205656</v>
      </c>
      <c r="D15" s="104">
        <f>'COSTOS TOTALES SP'!D14-'COSTOS TOTALES CP'!E14</f>
        <v>442.85068831242847</v>
      </c>
      <c r="E15" s="104">
        <f t="shared" si="0"/>
        <v>37953.824191306172</v>
      </c>
      <c r="G15" s="263">
        <f t="shared" si="5"/>
        <v>37510.973502993744</v>
      </c>
      <c r="I15" s="186"/>
      <c r="J15" s="101">
        <v>9</v>
      </c>
      <c r="K15" s="107">
        <f>'COSTOS TOTALES SP'!D14-'COSTOS TOTALES CP'!L14</f>
        <v>442.85068831242847</v>
      </c>
      <c r="L15" s="106">
        <f t="shared" si="9"/>
        <v>37953.824191306172</v>
      </c>
      <c r="N15" s="150">
        <v>9</v>
      </c>
      <c r="O15" s="104">
        <f>'COSTOS TOTALES SP'!K14-'COSTOS TOTALES CP'!P14</f>
        <v>32601.098281273167</v>
      </c>
      <c r="P15" s="104">
        <f>'COSTOS TOTALES SP'!L14-'COSTOS TOTALES CP'!Q14</f>
        <v>4909.8752217205656</v>
      </c>
      <c r="Q15" s="104">
        <f t="shared" si="6"/>
        <v>37953.824191306157</v>
      </c>
      <c r="S15" s="104">
        <f t="shared" si="10"/>
        <v>37510.973502993729</v>
      </c>
      <c r="U15" s="130">
        <v>2028</v>
      </c>
      <c r="V15" s="30">
        <f>'COSTOS TOTALES SP'!B14+'COSTOS TOTALES SP'!C14</f>
        <v>46499.350169354104</v>
      </c>
      <c r="W15" s="33">
        <v>2528.874466736077</v>
      </c>
      <c r="X15" s="33">
        <f t="shared" si="1"/>
        <v>49028.224636090177</v>
      </c>
      <c r="Y15" s="30">
        <f>'COSTOS TOTALES CP'!B14+'COSTOS TOTALES CP'!C14</f>
        <v>8988.3766663603656</v>
      </c>
      <c r="Z15" s="33">
        <v>1179.4737062185138</v>
      </c>
      <c r="AA15" s="33">
        <f t="shared" si="2"/>
        <v>10167.85037257888</v>
      </c>
      <c r="AB15" s="33">
        <f t="shared" si="3"/>
        <v>38860.374263511301</v>
      </c>
      <c r="AC15" s="33"/>
      <c r="AD15" s="33">
        <f t="shared" si="4"/>
        <v>38860.374263511301</v>
      </c>
      <c r="AE15" s="130">
        <f t="shared" si="7"/>
        <v>0.41801643220657692</v>
      </c>
      <c r="AF15" s="183">
        <f t="shared" si="8"/>
        <v>0.41801643220657692</v>
      </c>
    </row>
    <row r="16" spans="1:45" ht="12" customHeight="1" x14ac:dyDescent="0.25">
      <c r="A16" s="101">
        <v>10</v>
      </c>
      <c r="B16" s="107">
        <f>'COSTOS TOTALES SP'!B15-'COSTOS TOTALES CP'!B15</f>
        <v>34218.047855313271</v>
      </c>
      <c r="C16" s="107">
        <f>'COSTOS TOTALES SP'!C15-'COSTOS TOTALES CP'!C15</f>
        <v>5208.8866227233475</v>
      </c>
      <c r="D16" s="104">
        <f>'COSTOS TOTALES SP'!D15-'COSTOS TOTALES CP'!E15</f>
        <v>21702.131072858916</v>
      </c>
      <c r="E16" s="104">
        <f t="shared" si="0"/>
        <v>61129.065550895531</v>
      </c>
      <c r="G16" s="263">
        <f t="shared" si="5"/>
        <v>39426.934478036615</v>
      </c>
      <c r="I16" s="186"/>
      <c r="J16" s="101">
        <v>10</v>
      </c>
      <c r="K16" s="107">
        <f>'COSTOS TOTALES SP'!D15-'COSTOS TOTALES CP'!L15</f>
        <v>21702.131072858916</v>
      </c>
      <c r="L16" s="106">
        <f t="shared" si="9"/>
        <v>61129.065550895531</v>
      </c>
      <c r="N16" s="150">
        <v>10</v>
      </c>
      <c r="O16" s="104">
        <f>'COSTOS TOTALES SP'!K15-'COSTOS TOTALES CP'!P15</f>
        <v>34218.047855313271</v>
      </c>
      <c r="P16" s="104">
        <f>'COSTOS TOTALES SP'!L15-'COSTOS TOTALES CP'!Q15</f>
        <v>5208.8866227233466</v>
      </c>
      <c r="Q16" s="104">
        <f t="shared" si="6"/>
        <v>61129.065550895531</v>
      </c>
      <c r="S16" s="104">
        <f t="shared" si="10"/>
        <v>39426.934478036615</v>
      </c>
      <c r="U16" s="33">
        <v>2029</v>
      </c>
      <c r="V16" s="30">
        <f>'COSTOS TOTALES SP'!B15+'COSTOS TOTALES SP'!C15</f>
        <v>48766.365314171046</v>
      </c>
      <c r="W16" s="33">
        <v>2528.874466736077</v>
      </c>
      <c r="X16" s="33">
        <f t="shared" si="1"/>
        <v>51295.239780907126</v>
      </c>
      <c r="Y16" s="30">
        <f>'COSTOS TOTALES CP'!B15+'COSTOS TOTALES CP'!C15</f>
        <v>9339.4308361344247</v>
      </c>
      <c r="Z16" s="33">
        <v>1179.4737062185138</v>
      </c>
      <c r="AA16" s="33">
        <f t="shared" si="2"/>
        <v>10518.904542352939</v>
      </c>
      <c r="AB16" s="69">
        <f t="shared" si="3"/>
        <v>40776.335238554188</v>
      </c>
      <c r="AD16" s="69">
        <f t="shared" si="4"/>
        <v>40776.335238554188</v>
      </c>
      <c r="AE16" s="130">
        <f t="shared" si="7"/>
        <v>0.43862619694027594</v>
      </c>
      <c r="AF16" s="183">
        <f t="shared" si="8"/>
        <v>0.43862619694027594</v>
      </c>
    </row>
    <row r="17" spans="1:32" ht="12" customHeight="1" x14ac:dyDescent="0.25">
      <c r="A17" s="101">
        <v>11</v>
      </c>
      <c r="B17" s="107">
        <f>'COSTOS TOTALES SP'!B16-'COSTOS TOTALES CP'!B16</f>
        <v>35985.801479824484</v>
      </c>
      <c r="C17" s="107">
        <f>'COSTOS TOTALES SP'!C16-'COSTOS TOTALES CP'!C16</f>
        <v>5526.1078180471986</v>
      </c>
      <c r="D17" s="104">
        <f>'COSTOS TOTALES SP'!D16-'COSTOS TOTALES CP'!E16</f>
        <v>442.85068831242847</v>
      </c>
      <c r="E17" s="104">
        <f t="shared" si="0"/>
        <v>41954.759986184108</v>
      </c>
      <c r="G17" s="263">
        <f t="shared" si="5"/>
        <v>41511.90929787168</v>
      </c>
      <c r="I17" s="186"/>
      <c r="J17" s="101">
        <v>11</v>
      </c>
      <c r="K17" s="107">
        <f>'COSTOS TOTALES SP'!D16-'COSTOS TOTALES CP'!L16</f>
        <v>442.85068831242847</v>
      </c>
      <c r="L17" s="106">
        <f t="shared" si="9"/>
        <v>41954.759986184108</v>
      </c>
      <c r="N17" s="150">
        <v>11</v>
      </c>
      <c r="O17" s="104">
        <f>'COSTOS TOTALES SP'!K16-'COSTOS TOTALES CP'!P16</f>
        <v>35985.801479824469</v>
      </c>
      <c r="P17" s="104">
        <f>'COSTOS TOTALES SP'!L16-'COSTOS TOTALES CP'!Q16</f>
        <v>5526.1078180471986</v>
      </c>
      <c r="Q17" s="104">
        <f t="shared" si="6"/>
        <v>41954.759986184094</v>
      </c>
      <c r="S17" s="104">
        <f t="shared" si="10"/>
        <v>41511.909297871665</v>
      </c>
      <c r="U17" s="130">
        <v>2030</v>
      </c>
      <c r="V17" s="30">
        <f>'COSTOS TOTALES SP'!B16+'COSTOS TOTALES SP'!C16</f>
        <v>51270.195352208895</v>
      </c>
      <c r="W17" s="33">
        <v>2528.874466736077</v>
      </c>
      <c r="X17" s="33">
        <f t="shared" si="1"/>
        <v>53799.069818944976</v>
      </c>
      <c r="Y17" s="30">
        <f>'COSTOS TOTALES CP'!B16+'COSTOS TOTALES CP'!C16</f>
        <v>9758.2860543372153</v>
      </c>
      <c r="Z17" s="33">
        <v>1179.4737062185138</v>
      </c>
      <c r="AA17" s="33">
        <f t="shared" si="2"/>
        <v>10937.759760555729</v>
      </c>
      <c r="AB17" s="69">
        <f t="shared" si="3"/>
        <v>42861.310058389245</v>
      </c>
      <c r="AD17" s="69">
        <f t="shared" si="4"/>
        <v>42861.310058389245</v>
      </c>
      <c r="AE17" s="130">
        <f t="shared" si="7"/>
        <v>0.46105402353602654</v>
      </c>
      <c r="AF17" s="183">
        <f t="shared" si="8"/>
        <v>0.46105402353602654</v>
      </c>
    </row>
    <row r="18" spans="1:32" ht="12" customHeight="1" x14ac:dyDescent="0.25">
      <c r="A18" s="101">
        <v>12</v>
      </c>
      <c r="B18" s="107">
        <f>'COSTOS TOTALES SP'!B17-'COSTOS TOTALES CP'!B17</f>
        <v>37549.375258242217</v>
      </c>
      <c r="C18" s="107">
        <f>'COSTOS TOTALES SP'!C17-'COSTOS TOTALES CP'!C17</f>
        <v>5862.6477841662727</v>
      </c>
      <c r="D18" s="104">
        <f>'COSTOS TOTALES SP'!D17-'COSTOS TOTALES CP'!E17</f>
        <v>442.85068831242847</v>
      </c>
      <c r="E18" s="104">
        <f t="shared" si="0"/>
        <v>43854.873730720916</v>
      </c>
      <c r="G18" s="263">
        <f t="shared" si="5"/>
        <v>43412.023042408488</v>
      </c>
      <c r="I18" s="186"/>
      <c r="J18" s="101">
        <v>12</v>
      </c>
      <c r="K18" s="107">
        <f>'COSTOS TOTALES SP'!D17-'COSTOS TOTALES CP'!L17</f>
        <v>442.85068831242847</v>
      </c>
      <c r="L18" s="106">
        <f t="shared" si="9"/>
        <v>43854.873730720916</v>
      </c>
      <c r="N18" s="150">
        <v>12</v>
      </c>
      <c r="O18" s="104">
        <f>'COSTOS TOTALES SP'!K17-'COSTOS TOTALES CP'!P17</f>
        <v>37549.375258242217</v>
      </c>
      <c r="P18" s="104">
        <f>'COSTOS TOTALES SP'!L17-'COSTOS TOTALES CP'!Q17</f>
        <v>5862.6477841662727</v>
      </c>
      <c r="Q18" s="104">
        <f t="shared" si="6"/>
        <v>43854.873730720916</v>
      </c>
      <c r="S18" s="104">
        <f t="shared" si="10"/>
        <v>43412.023042408488</v>
      </c>
      <c r="U18" s="33">
        <v>2031</v>
      </c>
      <c r="V18" s="30">
        <f>'COSTOS TOTALES SP'!B17+'COSTOS TOTALES SP'!C17</f>
        <v>53611.412606288774</v>
      </c>
      <c r="W18" s="33">
        <v>2528.874466736077</v>
      </c>
      <c r="X18" s="33">
        <f t="shared" si="1"/>
        <v>56140.287073024854</v>
      </c>
      <c r="Y18" s="30">
        <f>'COSTOS TOTALES CP'!B17+'COSTOS TOTALES CP'!C17</f>
        <v>10199.389563880286</v>
      </c>
      <c r="Z18" s="33">
        <v>1179.4737062185138</v>
      </c>
      <c r="AA18" s="33">
        <f t="shared" si="2"/>
        <v>11378.8632700988</v>
      </c>
      <c r="AB18" s="69">
        <f t="shared" si="3"/>
        <v>44761.423802926052</v>
      </c>
      <c r="AD18" s="69">
        <f t="shared" si="4"/>
        <v>44761.423802926052</v>
      </c>
      <c r="AE18" s="130">
        <f t="shared" si="7"/>
        <v>0.48149332149265378</v>
      </c>
      <c r="AF18" s="183">
        <f t="shared" si="8"/>
        <v>0.48149332149265378</v>
      </c>
    </row>
    <row r="19" spans="1:32" ht="12" customHeight="1" x14ac:dyDescent="0.25">
      <c r="A19" s="101">
        <v>13</v>
      </c>
      <c r="B19" s="107">
        <f>'COSTOS TOTALES SP'!B18-'COSTOS TOTALES CP'!B18</f>
        <v>39184.292671586256</v>
      </c>
      <c r="C19" s="107">
        <f>'COSTOS TOTALES SP'!C18-'COSTOS TOTALES CP'!C18</f>
        <v>6219.6830342219992</v>
      </c>
      <c r="D19" s="104">
        <f>'COSTOS TOTALES SP'!D18-'COSTOS TOTALES CP'!E18</f>
        <v>442.85068831242847</v>
      </c>
      <c r="E19" s="104">
        <f t="shared" si="0"/>
        <v>45846.826394120682</v>
      </c>
      <c r="G19" s="263">
        <f t="shared" si="5"/>
        <v>45403.975705808254</v>
      </c>
      <c r="I19" s="186"/>
      <c r="J19" s="101">
        <v>13</v>
      </c>
      <c r="K19" s="107">
        <f>'COSTOS TOTALES SP'!D18-'COSTOS TOTALES CP'!L18</f>
        <v>442.85068831242847</v>
      </c>
      <c r="L19" s="106">
        <f t="shared" si="9"/>
        <v>45846.826394120682</v>
      </c>
      <c r="N19" s="150">
        <v>13</v>
      </c>
      <c r="O19" s="104">
        <f>'COSTOS TOTALES SP'!K18-'COSTOS TOTALES CP'!P18</f>
        <v>39184.292671586256</v>
      </c>
      <c r="P19" s="104">
        <f>'COSTOS TOTALES SP'!L18-'COSTOS TOTALES CP'!Q18</f>
        <v>6219.6830342219982</v>
      </c>
      <c r="Q19" s="104">
        <f t="shared" si="6"/>
        <v>45846.826394120682</v>
      </c>
      <c r="S19" s="104">
        <f t="shared" si="10"/>
        <v>45403.975705808254</v>
      </c>
      <c r="U19" s="130">
        <v>2032</v>
      </c>
      <c r="V19" s="30">
        <f>'COSTOS TOTALES SP'!B18+'COSTOS TOTALES SP'!C18</f>
        <v>56078.563396546509</v>
      </c>
      <c r="W19" s="33">
        <v>2528.874466736077</v>
      </c>
      <c r="X19" s="33">
        <f t="shared" si="1"/>
        <v>58607.437863282583</v>
      </c>
      <c r="Y19" s="30">
        <f>'COSTOS TOTALES CP'!B18+'COSTOS TOTALES CP'!C18</f>
        <v>10674.587690738255</v>
      </c>
      <c r="Z19" s="33">
        <v>1179.4737062185138</v>
      </c>
      <c r="AA19" s="33">
        <f t="shared" si="2"/>
        <v>11854.061396956769</v>
      </c>
      <c r="AB19" s="69">
        <f t="shared" si="3"/>
        <v>46753.376466325812</v>
      </c>
      <c r="AD19" s="69">
        <f t="shared" si="4"/>
        <v>46753.376466325812</v>
      </c>
      <c r="AE19" s="130">
        <f t="shared" si="7"/>
        <v>0.50292051979580044</v>
      </c>
      <c r="AF19" s="183">
        <f t="shared" si="8"/>
        <v>0.50292051979580044</v>
      </c>
    </row>
    <row r="20" spans="1:32" ht="12" customHeight="1" x14ac:dyDescent="0.25">
      <c r="A20" s="101">
        <v>14</v>
      </c>
      <c r="B20" s="107">
        <f>'COSTOS TOTALES SP'!B19-'COSTOS TOTALES CP'!B19</f>
        <v>41016.327589583532</v>
      </c>
      <c r="C20" s="107">
        <f>'COSTOS TOTALES SP'!C19-'COSTOS TOTALES CP'!C19</f>
        <v>6598.4617310061203</v>
      </c>
      <c r="D20" s="104">
        <f>'COSTOS TOTALES SP'!D19-'COSTOS TOTALES CP'!E19</f>
        <v>442.85068831242847</v>
      </c>
      <c r="E20" s="104">
        <f>SUM(B20:D20)</f>
        <v>48057.640008902083</v>
      </c>
      <c r="G20" s="263">
        <f t="shared" si="5"/>
        <v>47614.789320589654</v>
      </c>
      <c r="I20" s="186"/>
      <c r="J20" s="101">
        <v>14</v>
      </c>
      <c r="K20" s="107">
        <f>'COSTOS TOTALES SP'!D19-'COSTOS TOTALES CP'!L19</f>
        <v>442.85068831242847</v>
      </c>
      <c r="L20" s="106">
        <f t="shared" si="9"/>
        <v>48057.640008902083</v>
      </c>
      <c r="N20" s="150">
        <v>14</v>
      </c>
      <c r="O20" s="104">
        <f>'COSTOS TOTALES SP'!K19-'COSTOS TOTALES CP'!P19</f>
        <v>41016.327589583525</v>
      </c>
      <c r="P20" s="104">
        <f>'COSTOS TOTALES SP'!L19-'COSTOS TOTALES CP'!Q19</f>
        <v>6598.4617310061194</v>
      </c>
      <c r="Q20" s="104">
        <f t="shared" si="6"/>
        <v>48057.640008902075</v>
      </c>
      <c r="S20" s="104">
        <f t="shared" si="10"/>
        <v>47614.789320589647</v>
      </c>
      <c r="U20" s="33">
        <v>2033</v>
      </c>
      <c r="V20" s="30">
        <f>'COSTOS TOTALES SP'!B19+'COSTOS TOTALES SP'!C19</f>
        <v>58717.3409716311</v>
      </c>
      <c r="W20" s="33">
        <v>2528.874466736077</v>
      </c>
      <c r="X20" s="30">
        <f>V20+W20</f>
        <v>61246.215438367173</v>
      </c>
      <c r="Y20" s="30">
        <f>'COSTOS TOTALES CP'!B19+'COSTOS TOTALES CP'!C19</f>
        <v>11102.551651041447</v>
      </c>
      <c r="Z20" s="33">
        <v>1179.4737062185138</v>
      </c>
      <c r="AA20" s="33">
        <f t="shared" si="2"/>
        <v>12282.025357259961</v>
      </c>
      <c r="AB20" s="69">
        <f t="shared" si="3"/>
        <v>48964.190081107212</v>
      </c>
      <c r="AD20" s="69">
        <f t="shared" si="4"/>
        <v>48964.190081107212</v>
      </c>
      <c r="AE20" s="130">
        <f t="shared" si="7"/>
        <v>0.52670197936842233</v>
      </c>
      <c r="AF20" s="183">
        <f t="shared" si="8"/>
        <v>0.52670197936842233</v>
      </c>
    </row>
    <row r="21" spans="1:32" ht="12" customHeight="1" x14ac:dyDescent="0.25">
      <c r="A21" s="101">
        <v>15</v>
      </c>
      <c r="B21" s="107">
        <f>'COSTOS TOTALES SP'!B20-'COSTOS TOTALES CP'!B20</f>
        <v>42421.194587172737</v>
      </c>
      <c r="C21" s="107">
        <f>'COSTOS TOTALES SP'!C20-'COSTOS TOTALES CP'!C20</f>
        <v>7000.3080504243935</v>
      </c>
      <c r="D21" s="104">
        <f>'COSTOS TOTALES SP'!D20-'COSTOS TOTALES CP'!E20</f>
        <v>1868.2116791028004</v>
      </c>
      <c r="E21" s="104">
        <f>SUM(B21:D21)</f>
        <v>51289.71431669993</v>
      </c>
      <c r="G21" s="263">
        <f>SUM(B21:C21)</f>
        <v>49421.502637597128</v>
      </c>
      <c r="I21" s="186"/>
      <c r="J21" s="101">
        <v>15</v>
      </c>
      <c r="K21" s="107">
        <f>'COSTOS TOTALES SP'!D20-'COSTOS TOTALES CP'!L20</f>
        <v>1868.2116791028004</v>
      </c>
      <c r="L21" s="106">
        <f t="shared" si="9"/>
        <v>51289.71431669993</v>
      </c>
      <c r="N21" s="150">
        <v>15</v>
      </c>
      <c r="O21" s="104">
        <f>'COSTOS TOTALES SP'!K20-'COSTOS TOTALES CP'!P20</f>
        <v>42421.194587172737</v>
      </c>
      <c r="P21" s="104">
        <f>'COSTOS TOTALES SP'!L20-'COSTOS TOTALES CP'!Q20</f>
        <v>7000.3080504243926</v>
      </c>
      <c r="Q21" s="104">
        <f t="shared" si="6"/>
        <v>51289.71431669993</v>
      </c>
      <c r="S21" s="104">
        <f t="shared" si="10"/>
        <v>49421.502637597128</v>
      </c>
      <c r="U21" s="130">
        <v>2034</v>
      </c>
      <c r="V21" s="30">
        <f>'COSTOS TOTALES SP'!B20+'COSTOS TOTALES SP'!C20</f>
        <v>61050.10928120157</v>
      </c>
      <c r="W21" s="33">
        <v>2528.874466736077</v>
      </c>
      <c r="X21" s="30">
        <f>V21+W21</f>
        <v>63578.983747937644</v>
      </c>
      <c r="Y21" s="30">
        <f>'COSTOS TOTALES CP'!B20+'COSTOS TOTALES CP'!C20</f>
        <v>11628.606643604438</v>
      </c>
      <c r="Z21" s="33">
        <v>1179.4737062185138</v>
      </c>
      <c r="AA21" s="33">
        <f t="shared" si="2"/>
        <v>12808.080349822952</v>
      </c>
      <c r="AB21" s="69">
        <f t="shared" si="3"/>
        <v>50770.903398114693</v>
      </c>
      <c r="AD21" s="69">
        <f t="shared" si="4"/>
        <v>50770.903398114693</v>
      </c>
      <c r="AE21" s="130">
        <f t="shared" si="7"/>
        <v>0.54613658001519783</v>
      </c>
      <c r="AF21" s="183">
        <f t="shared" si="8"/>
        <v>0.54613658001519783</v>
      </c>
    </row>
    <row r="22" spans="1:32" ht="12" customHeight="1" x14ac:dyDescent="0.25">
      <c r="A22" s="101"/>
      <c r="B22" s="104"/>
      <c r="C22" s="104"/>
      <c r="D22" s="104"/>
      <c r="E22" s="104"/>
      <c r="G22" s="105"/>
      <c r="J22" s="101"/>
      <c r="K22" s="107"/>
      <c r="L22" s="151"/>
      <c r="N22" s="150"/>
      <c r="O22" s="104"/>
      <c r="P22" s="104"/>
      <c r="Q22" s="104"/>
      <c r="S22" s="104"/>
      <c r="U22" s="33"/>
      <c r="V22" s="30"/>
      <c r="X22" s="33"/>
      <c r="Y22" s="30"/>
      <c r="AA22" s="33"/>
      <c r="AD22" s="130"/>
      <c r="AE22" s="130"/>
      <c r="AF22" s="183"/>
    </row>
    <row r="23" spans="1:32" ht="12" customHeight="1" x14ac:dyDescent="0.25">
      <c r="A23" s="101"/>
      <c r="B23" s="104"/>
      <c r="C23" s="104"/>
      <c r="D23" s="104"/>
      <c r="E23" s="104"/>
      <c r="G23" s="105"/>
      <c r="J23" s="101"/>
      <c r="K23" s="107"/>
      <c r="L23" s="106"/>
      <c r="N23" s="150"/>
      <c r="O23" s="104"/>
      <c r="P23" s="104"/>
      <c r="Q23" s="104"/>
      <c r="S23" s="104"/>
      <c r="U23" s="130"/>
      <c r="V23" s="30"/>
      <c r="X23" s="33"/>
      <c r="Y23" s="30"/>
      <c r="AA23" s="33"/>
      <c r="AE23" s="130"/>
      <c r="AF23" s="183"/>
    </row>
    <row r="24" spans="1:32" ht="12" customHeight="1" x14ac:dyDescent="0.25">
      <c r="A24" s="101"/>
      <c r="B24" s="104"/>
      <c r="C24" s="104"/>
      <c r="D24" s="104"/>
      <c r="E24" s="104"/>
      <c r="G24" s="105"/>
      <c r="J24" s="101"/>
      <c r="K24" s="107"/>
      <c r="L24" s="106"/>
      <c r="N24" s="150"/>
      <c r="O24" s="104"/>
      <c r="P24" s="104"/>
      <c r="Q24" s="104"/>
      <c r="S24" s="104"/>
      <c r="U24" s="33"/>
      <c r="V24" s="30"/>
      <c r="X24" s="33"/>
      <c r="Y24" s="30"/>
      <c r="AA24" s="33"/>
      <c r="AE24" s="130"/>
      <c r="AF24" s="183"/>
    </row>
    <row r="25" spans="1:32" ht="12" customHeight="1" x14ac:dyDescent="0.25">
      <c r="A25" s="101"/>
      <c r="B25" s="104"/>
      <c r="C25" s="104"/>
      <c r="D25" s="104"/>
      <c r="E25" s="104"/>
      <c r="G25" s="105"/>
      <c r="J25" s="101"/>
      <c r="K25" s="107"/>
      <c r="L25" s="106"/>
      <c r="N25" s="150"/>
      <c r="O25" s="104"/>
      <c r="P25" s="104"/>
      <c r="Q25" s="104"/>
      <c r="S25" s="104"/>
      <c r="U25" s="130"/>
      <c r="V25" s="30"/>
      <c r="X25" s="33"/>
      <c r="Y25" s="30"/>
      <c r="AA25" s="33"/>
      <c r="AE25" s="130"/>
      <c r="AF25" s="183"/>
    </row>
    <row r="26" spans="1:32" ht="12" customHeight="1" x14ac:dyDescent="0.25">
      <c r="A26" s="101"/>
      <c r="B26" s="104"/>
      <c r="C26" s="104"/>
      <c r="D26" s="104"/>
      <c r="E26" s="104"/>
      <c r="G26" s="105"/>
      <c r="J26" s="101"/>
      <c r="K26" s="107"/>
      <c r="L26" s="106"/>
      <c r="N26" s="150"/>
      <c r="O26" s="104"/>
      <c r="P26" s="104"/>
      <c r="Q26" s="104"/>
      <c r="S26" s="104"/>
      <c r="U26" s="33"/>
      <c r="V26" s="30"/>
      <c r="X26" s="33"/>
      <c r="Y26" s="30"/>
      <c r="AA26" s="33"/>
      <c r="AE26" s="130"/>
      <c r="AF26" s="183"/>
    </row>
    <row r="27" spans="1:32" ht="12" customHeight="1" x14ac:dyDescent="0.25">
      <c r="A27" s="101"/>
      <c r="B27" s="104"/>
      <c r="C27" s="104"/>
      <c r="D27" s="104"/>
      <c r="E27" s="104"/>
      <c r="G27" s="105"/>
      <c r="J27" s="101"/>
      <c r="K27" s="107"/>
      <c r="L27" s="106"/>
      <c r="N27" s="150"/>
      <c r="O27" s="104"/>
      <c r="P27" s="104"/>
      <c r="Q27" s="104"/>
      <c r="S27" s="104"/>
      <c r="U27" s="130"/>
      <c r="V27" s="30"/>
      <c r="X27" s="33"/>
      <c r="Y27" s="30"/>
      <c r="AA27" s="33"/>
      <c r="AE27" s="130"/>
      <c r="AF27" s="183"/>
    </row>
    <row r="28" spans="1:32" ht="12" customHeight="1" x14ac:dyDescent="0.25">
      <c r="A28" s="101"/>
      <c r="B28" s="104"/>
      <c r="C28" s="104"/>
      <c r="D28" s="104"/>
      <c r="E28" s="104"/>
      <c r="G28" s="105"/>
      <c r="J28" s="101"/>
      <c r="K28" s="107"/>
      <c r="L28" s="106"/>
      <c r="N28" s="150"/>
      <c r="O28" s="104"/>
      <c r="P28" s="104"/>
      <c r="Q28" s="104"/>
      <c r="S28" s="104"/>
      <c r="U28" s="33"/>
      <c r="V28" s="30"/>
      <c r="X28" s="33"/>
      <c r="Y28" s="30"/>
      <c r="AA28" s="33"/>
      <c r="AE28" s="130"/>
      <c r="AF28" s="183"/>
    </row>
    <row r="29" spans="1:32" ht="12" customHeight="1" x14ac:dyDescent="0.25">
      <c r="A29" s="101"/>
      <c r="B29" s="104"/>
      <c r="C29" s="104"/>
      <c r="D29" s="104"/>
      <c r="E29" s="104"/>
      <c r="G29" s="105"/>
      <c r="J29" s="101"/>
      <c r="K29" s="107"/>
      <c r="L29" s="106"/>
      <c r="N29" s="150"/>
      <c r="O29" s="104"/>
      <c r="P29" s="104"/>
      <c r="Q29" s="104"/>
      <c r="S29" s="104"/>
      <c r="U29" s="130"/>
      <c r="V29" s="30"/>
      <c r="X29" s="33"/>
      <c r="Y29" s="30"/>
      <c r="AA29" s="33"/>
      <c r="AE29" s="130"/>
      <c r="AF29" s="183"/>
    </row>
    <row r="30" spans="1:32" ht="12" customHeight="1" x14ac:dyDescent="0.25">
      <c r="A30" s="101"/>
      <c r="B30" s="104"/>
      <c r="C30" s="104"/>
      <c r="D30" s="104"/>
      <c r="E30" s="104"/>
      <c r="G30" s="105"/>
      <c r="J30" s="101"/>
      <c r="K30" s="107"/>
      <c r="L30" s="106"/>
      <c r="N30" s="150"/>
      <c r="O30" s="104"/>
      <c r="P30" s="104"/>
      <c r="Q30" s="104"/>
      <c r="S30" s="104"/>
      <c r="U30" s="33"/>
      <c r="V30" s="30"/>
      <c r="X30" s="33"/>
      <c r="Y30" s="30"/>
      <c r="AA30" s="33"/>
      <c r="AE30" s="130"/>
      <c r="AF30" s="183"/>
    </row>
    <row r="31" spans="1:32" ht="12" customHeight="1" x14ac:dyDescent="0.25">
      <c r="A31" s="101"/>
      <c r="B31" s="104"/>
      <c r="C31" s="104"/>
      <c r="D31" s="104"/>
      <c r="E31" s="104"/>
      <c r="G31" s="105"/>
      <c r="J31" s="101"/>
      <c r="K31" s="107"/>
      <c r="L31" s="106"/>
      <c r="N31" s="150"/>
      <c r="O31" s="104"/>
      <c r="P31" s="104"/>
      <c r="Q31" s="104"/>
      <c r="S31" s="104"/>
      <c r="U31" s="130"/>
      <c r="V31" s="30"/>
      <c r="X31" s="33"/>
      <c r="Y31" s="30"/>
      <c r="AA31" s="33"/>
      <c r="AE31" s="130"/>
      <c r="AF31" s="183"/>
    </row>
    <row r="32" spans="1:32" ht="12" customHeight="1" x14ac:dyDescent="0.25">
      <c r="A32" s="101"/>
      <c r="B32" s="104"/>
      <c r="C32" s="104"/>
      <c r="D32" s="104"/>
      <c r="E32" s="104"/>
      <c r="G32" s="105"/>
      <c r="J32" s="101"/>
      <c r="K32" s="107"/>
      <c r="L32" s="106"/>
      <c r="N32" s="150"/>
      <c r="O32" s="104"/>
      <c r="P32" s="104"/>
      <c r="Q32" s="104"/>
      <c r="S32" s="104"/>
      <c r="U32" s="33"/>
      <c r="V32" s="30"/>
      <c r="X32" s="33"/>
      <c r="Y32" s="30"/>
      <c r="AA32" s="33"/>
      <c r="AE32" s="130"/>
      <c r="AF32" s="183"/>
    </row>
    <row r="33" spans="1:32" ht="12" customHeight="1" x14ac:dyDescent="0.25">
      <c r="A33" s="101"/>
      <c r="B33" s="104"/>
      <c r="C33" s="104"/>
      <c r="D33" s="104"/>
      <c r="E33" s="104"/>
      <c r="G33" s="105"/>
      <c r="J33" s="101"/>
      <c r="K33" s="107"/>
      <c r="L33" s="106"/>
      <c r="N33" s="150"/>
      <c r="O33" s="104"/>
      <c r="P33" s="104"/>
      <c r="Q33" s="104"/>
      <c r="S33" s="104"/>
      <c r="U33" s="130"/>
      <c r="V33" s="30"/>
      <c r="X33" s="33"/>
      <c r="Y33" s="30"/>
      <c r="AA33" s="33"/>
      <c r="AE33" s="130"/>
      <c r="AF33" s="183"/>
    </row>
    <row r="34" spans="1:32" ht="12" customHeight="1" x14ac:dyDescent="0.25">
      <c r="A34" s="101"/>
      <c r="B34" s="104"/>
      <c r="C34" s="104"/>
      <c r="D34" s="104"/>
      <c r="E34" s="104"/>
      <c r="G34" s="105"/>
      <c r="J34" s="101"/>
      <c r="K34" s="107"/>
      <c r="L34" s="106"/>
      <c r="N34" s="150"/>
      <c r="O34" s="104"/>
      <c r="P34" s="104"/>
      <c r="Q34" s="104"/>
      <c r="S34" s="104"/>
      <c r="U34" s="33"/>
      <c r="V34" s="30"/>
      <c r="X34" s="33"/>
      <c r="Y34" s="30"/>
      <c r="AA34" s="33"/>
      <c r="AE34" s="130"/>
      <c r="AF34" s="183"/>
    </row>
    <row r="35" spans="1:32" ht="12" customHeight="1" x14ac:dyDescent="0.25">
      <c r="A35" s="101"/>
      <c r="B35" s="104"/>
      <c r="C35" s="104"/>
      <c r="D35" s="104"/>
      <c r="E35" s="104"/>
      <c r="G35" s="105"/>
      <c r="J35" s="101"/>
      <c r="K35" s="107"/>
      <c r="L35" s="106"/>
      <c r="N35" s="150"/>
      <c r="O35" s="104"/>
      <c r="P35" s="104"/>
      <c r="Q35" s="104"/>
      <c r="S35" s="104"/>
      <c r="U35" s="130"/>
      <c r="V35" s="30"/>
      <c r="X35" s="33"/>
      <c r="Y35" s="30"/>
      <c r="AA35" s="33"/>
      <c r="AE35" s="130"/>
      <c r="AF35" s="183"/>
    </row>
    <row r="36" spans="1:32" ht="12" customHeight="1" x14ac:dyDescent="0.25">
      <c r="A36" s="101"/>
      <c r="B36" s="104"/>
      <c r="C36" s="104"/>
      <c r="D36" s="104"/>
      <c r="E36" s="104"/>
      <c r="G36" s="105"/>
      <c r="J36" s="101"/>
      <c r="K36" s="107"/>
      <c r="L36" s="106"/>
      <c r="N36" s="150"/>
      <c r="O36" s="104"/>
      <c r="P36" s="104"/>
      <c r="Q36" s="104"/>
      <c r="S36" s="104"/>
      <c r="U36" s="33"/>
      <c r="V36" s="30"/>
      <c r="X36" s="33"/>
      <c r="Y36" s="30"/>
      <c r="AA36" s="33"/>
      <c r="AE36" s="130"/>
      <c r="AF36" s="183"/>
    </row>
    <row r="37" spans="1:32" x14ac:dyDescent="0.25">
      <c r="B37" s="33"/>
      <c r="C37" s="33"/>
      <c r="D37" s="33"/>
      <c r="AC37" s="69" t="s">
        <v>130</v>
      </c>
      <c r="AD37" s="21">
        <f>(AD6+NPV(10%,AD7:AD36))/1000</f>
        <v>192.52994171675118</v>
      </c>
      <c r="AF37" s="183"/>
    </row>
    <row r="38" spans="1:32" x14ac:dyDescent="0.25">
      <c r="AC38" s="69" t="s">
        <v>22</v>
      </c>
      <c r="AD38" s="185">
        <f>IRR(AD6:AD21)</f>
        <v>0.40395563642880816</v>
      </c>
    </row>
    <row r="39" spans="1:32" x14ac:dyDescent="0.25">
      <c r="AC39" s="69" t="s">
        <v>24</v>
      </c>
      <c r="AD39" s="184">
        <f>AF7</f>
        <v>0.29771342340774654</v>
      </c>
      <c r="AE39" s="69" t="s">
        <v>156</v>
      </c>
    </row>
  </sheetData>
  <mergeCells count="10">
    <mergeCell ref="V4:X4"/>
    <mergeCell ref="Y4:AA4"/>
    <mergeCell ref="N4:N5"/>
    <mergeCell ref="O4:Q4"/>
    <mergeCell ref="J4:K4"/>
    <mergeCell ref="A1:E1"/>
    <mergeCell ref="A3:E3"/>
    <mergeCell ref="A4:A5"/>
    <mergeCell ref="B4:E4"/>
    <mergeCell ref="G2:H2"/>
  </mergeCells>
  <hyperlinks>
    <hyperlink ref="G2:H2" location="'DATOS DE EVALUACION'!A1" display="A la Página Principal."/>
  </hyperlink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zoomScale="80" zoomScaleNormal="80" workbookViewId="0">
      <selection activeCell="F21" sqref="F21"/>
    </sheetView>
  </sheetViews>
  <sheetFormatPr baseColWidth="10" defaultRowHeight="15" x14ac:dyDescent="0.25"/>
  <cols>
    <col min="1" max="1" width="5.28515625" bestFit="1" customWidth="1"/>
    <col min="2" max="2" width="12" bestFit="1" customWidth="1"/>
    <col min="3" max="7" width="15.7109375" customWidth="1"/>
    <col min="8" max="8" width="2.7109375" customWidth="1"/>
    <col min="9" max="10" width="9.7109375" customWidth="1"/>
    <col min="11" max="11" width="2.7109375" customWidth="1"/>
    <col min="12" max="12" width="5.28515625" hidden="1" customWidth="1"/>
    <col min="13" max="14" width="14.28515625" hidden="1" customWidth="1"/>
    <col min="15" max="15" width="2.7109375" hidden="1" customWidth="1"/>
    <col min="16" max="16" width="5.28515625" hidden="1" customWidth="1"/>
    <col min="17" max="17" width="14.28515625" hidden="1" customWidth="1"/>
    <col min="18" max="18" width="15" hidden="1" customWidth="1"/>
    <col min="19" max="19" width="2.7109375" hidden="1" customWidth="1"/>
    <col min="20" max="20" width="5.28515625" hidden="1" customWidth="1"/>
    <col min="21" max="21" width="12.42578125" hidden="1" customWidth="1"/>
    <col min="22" max="22" width="16.140625" hidden="1" customWidth="1"/>
    <col min="23" max="23" width="13.7109375" hidden="1" customWidth="1"/>
    <col min="24" max="24" width="2.7109375" customWidth="1"/>
  </cols>
  <sheetData>
    <row r="1" spans="1:55" s="69" customFormat="1" ht="37.5" customHeight="1" x14ac:dyDescent="0.25">
      <c r="A1" s="388" t="s">
        <v>148</v>
      </c>
      <c r="B1" s="388"/>
      <c r="C1" s="388"/>
      <c r="D1" s="388"/>
      <c r="E1" s="388"/>
      <c r="F1" s="388"/>
      <c r="G1" s="388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</row>
    <row r="2" spans="1:55" x14ac:dyDescent="0.25">
      <c r="I2" s="390" t="s">
        <v>95</v>
      </c>
      <c r="J2" s="390"/>
      <c r="K2" s="186"/>
    </row>
    <row r="3" spans="1:55" x14ac:dyDescent="0.25">
      <c r="A3" s="397" t="s">
        <v>92</v>
      </c>
      <c r="B3" s="397"/>
      <c r="C3" s="397"/>
      <c r="D3" s="397"/>
      <c r="E3" s="397"/>
      <c r="F3" s="397"/>
      <c r="G3" s="397"/>
      <c r="K3" s="186"/>
    </row>
    <row r="4" spans="1:55" ht="21" customHeight="1" x14ac:dyDescent="0.25">
      <c r="A4" s="398" t="s">
        <v>59</v>
      </c>
      <c r="B4" s="396" t="s">
        <v>93</v>
      </c>
      <c r="C4" s="396"/>
      <c r="D4" s="396"/>
      <c r="E4" s="396"/>
      <c r="F4" s="396" t="s">
        <v>86</v>
      </c>
      <c r="G4" s="396"/>
      <c r="K4" s="186"/>
      <c r="L4" s="396" t="s">
        <v>118</v>
      </c>
      <c r="M4" s="396"/>
      <c r="N4" s="224">
        <f>SENSIBILIDAD!D20</f>
        <v>0</v>
      </c>
      <c r="P4" s="396" t="s">
        <v>119</v>
      </c>
      <c r="Q4" s="396"/>
      <c r="R4" s="224">
        <f>'COSTOS TOTALES CP'!M3</f>
        <v>0</v>
      </c>
      <c r="T4" s="398" t="s">
        <v>59</v>
      </c>
      <c r="U4" s="396" t="s">
        <v>93</v>
      </c>
      <c r="V4" s="396"/>
      <c r="W4" s="396"/>
    </row>
    <row r="5" spans="1:55" ht="41.25" customHeight="1" thickBot="1" x14ac:dyDescent="0.3">
      <c r="A5" s="399"/>
      <c r="B5" s="212" t="s">
        <v>87</v>
      </c>
      <c r="C5" s="212" t="s">
        <v>88</v>
      </c>
      <c r="D5" s="212" t="s">
        <v>89</v>
      </c>
      <c r="E5" s="212" t="s">
        <v>90</v>
      </c>
      <c r="F5" s="212" t="s">
        <v>23</v>
      </c>
      <c r="G5" s="212" t="s">
        <v>91</v>
      </c>
      <c r="J5" s="111"/>
      <c r="K5" s="256"/>
      <c r="L5" s="225" t="s">
        <v>59</v>
      </c>
      <c r="M5" s="212" t="s">
        <v>88</v>
      </c>
      <c r="N5" s="212" t="s">
        <v>90</v>
      </c>
      <c r="P5" s="225" t="s">
        <v>59</v>
      </c>
      <c r="Q5" s="212" t="s">
        <v>88</v>
      </c>
      <c r="R5" s="212" t="s">
        <v>90</v>
      </c>
      <c r="T5" s="399"/>
      <c r="U5" s="212" t="s">
        <v>87</v>
      </c>
      <c r="V5" s="212" t="s">
        <v>89</v>
      </c>
      <c r="W5" s="212" t="s">
        <v>90</v>
      </c>
    </row>
    <row r="6" spans="1:55" s="33" customFormat="1" ht="12" customHeight="1" thickTop="1" x14ac:dyDescent="0.25">
      <c r="A6" s="175">
        <v>0</v>
      </c>
      <c r="B6" s="176"/>
      <c r="C6" s="151">
        <f>'DATOS DE EVALUACION'!P20+'COSTOS TOTALES CP'!D5</f>
        <v>102260.12280000001</v>
      </c>
      <c r="D6" s="151">
        <f>AHORROS!B6+AHORROS!C6</f>
        <v>25102.186414836415</v>
      </c>
      <c r="E6" s="151">
        <f>B6-C6+D6</f>
        <v>-77157.936385163601</v>
      </c>
      <c r="F6" s="151"/>
      <c r="G6" s="109" t="e">
        <f>IRR(E6)</f>
        <v>#NUM!</v>
      </c>
      <c r="J6" s="170"/>
      <c r="K6" s="257"/>
      <c r="L6" s="175">
        <v>0</v>
      </c>
      <c r="M6" s="151">
        <f>('DATOS DE EVALUACION'!P20+'COSTOS TOTALES CP'!D5)*(1+'INDICADORES RENTABILIDAD'!$N$4)</f>
        <v>102260.12280000001</v>
      </c>
      <c r="N6" s="151">
        <f>B6-M6+D6</f>
        <v>-77157.936385163601</v>
      </c>
      <c r="P6" s="175">
        <v>0</v>
      </c>
      <c r="Q6" s="151">
        <f>('DATOS DE EVALUACION'!P20+'COSTOS TOTALES CP'!D5)-AHORROS!K6</f>
        <v>102260.12280000001</v>
      </c>
      <c r="R6" s="151">
        <f>B6-Q6+D6</f>
        <v>-77157.936385163601</v>
      </c>
      <c r="T6" s="175">
        <v>0</v>
      </c>
      <c r="U6" s="176"/>
      <c r="V6" s="151">
        <f>AHORROS!O6+AHORROS!P6</f>
        <v>25102.186414836415</v>
      </c>
      <c r="W6" s="151">
        <f>U6-C6+V6</f>
        <v>-77157.936385163601</v>
      </c>
    </row>
    <row r="7" spans="1:55" ht="12" customHeight="1" x14ac:dyDescent="0.25">
      <c r="A7" s="101">
        <v>1</v>
      </c>
      <c r="B7" s="151">
        <f>AHORROS!B7+AHORROS!C7</f>
        <v>26327.154909377492</v>
      </c>
      <c r="C7" s="151">
        <f>-AHORROS!D7</f>
        <v>-442.85068831242847</v>
      </c>
      <c r="D7" s="106"/>
      <c r="E7" s="106">
        <f t="shared" ref="E7:E21" si="0">B7-C7+D7</f>
        <v>26770.00559768992</v>
      </c>
      <c r="F7" s="151">
        <f>NPV('AV. crecer CP'!$D$21,E7)+E6</f>
        <v>-52821.567659990949</v>
      </c>
      <c r="G7" s="259">
        <f>IRR(E6:E7)</f>
        <v>-0.65304922796201925</v>
      </c>
      <c r="H7" s="400"/>
      <c r="I7" s="400"/>
      <c r="J7" s="170"/>
      <c r="K7" s="258"/>
      <c r="L7" s="101">
        <v>1</v>
      </c>
      <c r="M7" s="151">
        <f>C7</f>
        <v>-442.85068831242847</v>
      </c>
      <c r="N7" s="106">
        <f t="shared" ref="N7:N21" si="1">B7-M7+D7</f>
        <v>26770.00559768992</v>
      </c>
      <c r="P7" s="150">
        <v>1</v>
      </c>
      <c r="Q7" s="151">
        <f>'DATOS DE EVALUACION'!P21-AHORROS!K7</f>
        <v>-442.85068831242847</v>
      </c>
      <c r="R7" s="151">
        <f t="shared" ref="R7:R21" si="2">B7-Q7+D7</f>
        <v>26770.00559768992</v>
      </c>
      <c r="T7" s="150">
        <v>1</v>
      </c>
      <c r="U7" s="151">
        <f>AHORROS!O7+AHORROS!P7</f>
        <v>26327.154909377492</v>
      </c>
      <c r="V7" s="151"/>
      <c r="W7" s="151">
        <f t="shared" ref="W7:W21" si="3">U7-C7+V7</f>
        <v>26770.00559768992</v>
      </c>
    </row>
    <row r="8" spans="1:55" ht="12" customHeight="1" x14ac:dyDescent="0.25">
      <c r="A8" s="101">
        <v>2</v>
      </c>
      <c r="B8" s="151">
        <f>AHORROS!B8+AHORROS!C8</f>
        <v>27529.220902532026</v>
      </c>
      <c r="C8" s="151">
        <f>-AHORROS!D8</f>
        <v>-442.85068831242847</v>
      </c>
      <c r="D8" s="106"/>
      <c r="E8" s="106">
        <f t="shared" si="0"/>
        <v>27972.071590844454</v>
      </c>
      <c r="F8" s="106">
        <f>NPV('AV. crecer CP'!$D$21,$E$7:E8)+E6</f>
        <v>-29704.153122102973</v>
      </c>
      <c r="G8" s="259">
        <f>IRR(E6:E8)</f>
        <v>-0.19992763566821292</v>
      </c>
      <c r="H8" s="400"/>
      <c r="I8" s="400"/>
      <c r="J8" s="170"/>
      <c r="K8" s="258"/>
      <c r="L8" s="101">
        <v>2</v>
      </c>
      <c r="M8" s="151">
        <f>C8</f>
        <v>-442.85068831242847</v>
      </c>
      <c r="N8" s="106">
        <f t="shared" si="1"/>
        <v>27972.071590844454</v>
      </c>
      <c r="P8" s="150">
        <v>2</v>
      </c>
      <c r="Q8" s="151">
        <f>'DATOS DE EVALUACION'!P22-AHORROS!K8</f>
        <v>-442.85068831242847</v>
      </c>
      <c r="R8" s="151">
        <f t="shared" si="2"/>
        <v>27972.071590844454</v>
      </c>
      <c r="T8" s="150">
        <v>2</v>
      </c>
      <c r="U8" s="151">
        <f>AHORROS!O8+AHORROS!P8</f>
        <v>27529.220902532015</v>
      </c>
      <c r="V8" s="151"/>
      <c r="W8" s="151">
        <f t="shared" si="3"/>
        <v>27972.071590844444</v>
      </c>
    </row>
    <row r="9" spans="1:55" ht="12" customHeight="1" x14ac:dyDescent="0.25">
      <c r="A9" s="101">
        <v>3</v>
      </c>
      <c r="B9" s="106">
        <f>AHORROS!B9+AHORROS!C9</f>
        <v>28669.94142737332</v>
      </c>
      <c r="C9" s="106">
        <f>-AHORROS!D9</f>
        <v>-442.85068831242847</v>
      </c>
      <c r="D9" s="106"/>
      <c r="E9" s="106">
        <f t="shared" si="0"/>
        <v>29112.792115685748</v>
      </c>
      <c r="F9" s="106">
        <f>NPV('AV. crecer CP'!$D$21,E7:E9)+E6</f>
        <v>-7831.2815100175212</v>
      </c>
      <c r="G9" s="259">
        <f>IRR(E6:E9)</f>
        <v>4.2189291975134102E-2</v>
      </c>
      <c r="I9" s="108"/>
      <c r="J9" s="170"/>
      <c r="K9" s="258"/>
      <c r="L9" s="101">
        <v>3</v>
      </c>
      <c r="M9" s="106">
        <f t="shared" ref="M9:M21" si="4">C9</f>
        <v>-442.85068831242847</v>
      </c>
      <c r="N9" s="106">
        <f t="shared" si="1"/>
        <v>29112.792115685748</v>
      </c>
      <c r="P9" s="150">
        <v>3</v>
      </c>
      <c r="Q9" s="151">
        <f>-AHORROS!K9</f>
        <v>-442.85068831242847</v>
      </c>
      <c r="R9" s="151">
        <f t="shared" si="2"/>
        <v>29112.792115685748</v>
      </c>
      <c r="T9" s="150">
        <v>3</v>
      </c>
      <c r="U9" s="151">
        <f>AHORROS!O9+AHORROS!P9</f>
        <v>28669.94142737332</v>
      </c>
      <c r="V9" s="151"/>
      <c r="W9" s="151">
        <f t="shared" si="3"/>
        <v>29112.792115685748</v>
      </c>
    </row>
    <row r="10" spans="1:55" ht="12" customHeight="1" x14ac:dyDescent="0.25">
      <c r="A10" s="101">
        <v>4</v>
      </c>
      <c r="B10" s="106">
        <f>AHORROS!B10+AHORROS!C10</f>
        <v>29974.226160095812</v>
      </c>
      <c r="C10" s="106">
        <f>-AHORROS!D10</f>
        <v>-442.85068831242847</v>
      </c>
      <c r="D10" s="106"/>
      <c r="E10" s="106">
        <f t="shared" si="0"/>
        <v>30417.07684840824</v>
      </c>
      <c r="F10" s="106">
        <f>NPV('AV. crecer CP'!$D$21,E7:E10)+$E$6</f>
        <v>12943.991250318679</v>
      </c>
      <c r="G10" s="110">
        <f>IRR(E6:E10)</f>
        <v>0.17363401991420946</v>
      </c>
      <c r="J10" s="170"/>
      <c r="K10" s="186"/>
      <c r="L10" s="101">
        <v>4</v>
      </c>
      <c r="M10" s="106">
        <f t="shared" si="4"/>
        <v>-442.85068831242847</v>
      </c>
      <c r="N10" s="106">
        <f t="shared" si="1"/>
        <v>30417.07684840824</v>
      </c>
      <c r="P10" s="150">
        <v>4</v>
      </c>
      <c r="Q10" s="151">
        <f>-AHORROS!K10</f>
        <v>-442.85068831242847</v>
      </c>
      <c r="R10" s="151">
        <f t="shared" si="2"/>
        <v>30417.07684840824</v>
      </c>
      <c r="T10" s="150">
        <v>4</v>
      </c>
      <c r="U10" s="151">
        <f>AHORROS!O10+AHORROS!P10</f>
        <v>29974.226160095808</v>
      </c>
      <c r="V10" s="151"/>
      <c r="W10" s="151">
        <f t="shared" si="3"/>
        <v>30417.076848408236</v>
      </c>
    </row>
    <row r="11" spans="1:55" ht="12" customHeight="1" x14ac:dyDescent="0.25">
      <c r="A11" s="101">
        <v>5</v>
      </c>
      <c r="B11" s="106">
        <f>AHORROS!B11+AHORROS!C11</f>
        <v>31237.048326348126</v>
      </c>
      <c r="C11" s="106">
        <f>-AHORROS!D11</f>
        <v>-1868.2116791028004</v>
      </c>
      <c r="D11" s="106"/>
      <c r="E11" s="106">
        <f t="shared" si="0"/>
        <v>33105.260005450924</v>
      </c>
      <c r="F11" s="106">
        <f>NPV('AV. crecer CP'!$D$21,E7:E11)+$E$6</f>
        <v>33499.753093120598</v>
      </c>
      <c r="G11" s="110">
        <f>IRR(E6:E11)</f>
        <v>0.25227046501071726</v>
      </c>
      <c r="J11" s="170"/>
      <c r="K11" s="186"/>
      <c r="L11" s="101">
        <v>5</v>
      </c>
      <c r="M11" s="106">
        <f t="shared" si="4"/>
        <v>-1868.2116791028004</v>
      </c>
      <c r="N11" s="106">
        <f t="shared" si="1"/>
        <v>33105.260005450924</v>
      </c>
      <c r="P11" s="150">
        <v>5</v>
      </c>
      <c r="Q11" s="151">
        <f>-AHORROS!K11</f>
        <v>-1868.2116791028004</v>
      </c>
      <c r="R11" s="151">
        <f t="shared" si="2"/>
        <v>33105.260005450924</v>
      </c>
      <c r="T11" s="150">
        <v>5</v>
      </c>
      <c r="U11" s="151">
        <f>AHORROS!O11+AHORROS!P11</f>
        <v>31237.048326348122</v>
      </c>
      <c r="V11" s="151"/>
      <c r="W11" s="151">
        <f t="shared" si="3"/>
        <v>33105.260005450924</v>
      </c>
    </row>
    <row r="12" spans="1:55" ht="12" customHeight="1" x14ac:dyDescent="0.25">
      <c r="A12" s="101">
        <v>6</v>
      </c>
      <c r="B12" s="106">
        <f>AHORROS!B12+AHORROS!C12</f>
        <v>32843.320435667039</v>
      </c>
      <c r="C12" s="106">
        <f>-AHORROS!D12</f>
        <v>-442.85068831242847</v>
      </c>
      <c r="D12" s="106"/>
      <c r="E12" s="106">
        <f t="shared" si="0"/>
        <v>33286.171123979468</v>
      </c>
      <c r="F12" s="106">
        <f>NPV('AV. crecer CP'!$D$21,E7:E12)+$E$6</f>
        <v>52288.928923915839</v>
      </c>
      <c r="G12" s="110">
        <f>IRR(E6:E12)</f>
        <v>0.29824451018403275</v>
      </c>
      <c r="J12" s="170"/>
      <c r="K12" s="186"/>
      <c r="L12" s="101">
        <v>6</v>
      </c>
      <c r="M12" s="106">
        <f t="shared" si="4"/>
        <v>-442.85068831242847</v>
      </c>
      <c r="N12" s="106">
        <f t="shared" si="1"/>
        <v>33286.171123979468</v>
      </c>
      <c r="P12" s="150">
        <v>6</v>
      </c>
      <c r="Q12" s="151">
        <f>-AHORROS!K12</f>
        <v>-442.85068831242847</v>
      </c>
      <c r="R12" s="151">
        <f t="shared" si="2"/>
        <v>33286.171123979468</v>
      </c>
      <c r="T12" s="150">
        <v>6</v>
      </c>
      <c r="U12" s="151">
        <f>AHORROS!O12+AHORROS!P12</f>
        <v>32843.320435667039</v>
      </c>
      <c r="V12" s="151"/>
      <c r="W12" s="151">
        <f t="shared" si="3"/>
        <v>33286.171123979468</v>
      </c>
    </row>
    <row r="13" spans="1:55" ht="12" customHeight="1" x14ac:dyDescent="0.25">
      <c r="A13" s="101">
        <v>7</v>
      </c>
      <c r="B13" s="106">
        <f>AHORROS!B13+AHORROS!C13</f>
        <v>34428.540501604162</v>
      </c>
      <c r="C13" s="106">
        <f>-AHORROS!D13</f>
        <v>-442.85068831242847</v>
      </c>
      <c r="D13" s="106"/>
      <c r="E13" s="106">
        <f t="shared" si="0"/>
        <v>34871.391189916591</v>
      </c>
      <c r="F13" s="106">
        <f>NPV('AV. crecer CP'!$D$21,E7:E13)+$E$6</f>
        <v>70183.466407020256</v>
      </c>
      <c r="G13" s="110">
        <f>IRR(E6:E13)</f>
        <v>0.3276771462418806</v>
      </c>
      <c r="J13" s="170"/>
      <c r="K13" s="186"/>
      <c r="L13" s="101">
        <v>7</v>
      </c>
      <c r="M13" s="106">
        <f t="shared" si="4"/>
        <v>-442.85068831242847</v>
      </c>
      <c r="N13" s="106">
        <f t="shared" si="1"/>
        <v>34871.391189916591</v>
      </c>
      <c r="P13" s="150">
        <v>7</v>
      </c>
      <c r="Q13" s="151">
        <f>-AHORROS!K13</f>
        <v>-442.85068831242847</v>
      </c>
      <c r="R13" s="151">
        <f t="shared" si="2"/>
        <v>34871.391189916591</v>
      </c>
      <c r="T13" s="150">
        <v>7</v>
      </c>
      <c r="U13" s="151">
        <f>AHORROS!O13+AHORROS!P13</f>
        <v>34428.540501604162</v>
      </c>
      <c r="V13" s="151"/>
      <c r="W13" s="151">
        <f t="shared" si="3"/>
        <v>34871.391189916591</v>
      </c>
    </row>
    <row r="14" spans="1:55" ht="12" customHeight="1" x14ac:dyDescent="0.25">
      <c r="A14" s="101">
        <v>8</v>
      </c>
      <c r="B14" s="106">
        <f>AHORROS!B14+AHORROS!C14</f>
        <v>35930.341276688261</v>
      </c>
      <c r="C14" s="106">
        <f>-AHORROS!D14</f>
        <v>-442.85068831242847</v>
      </c>
      <c r="D14" s="106"/>
      <c r="E14" s="106">
        <f t="shared" si="0"/>
        <v>36373.191965000689</v>
      </c>
      <c r="F14" s="106">
        <f>NPV('AV. crecer CP'!$D$21,E7:E14)+$E$6</f>
        <v>87151.82890047846</v>
      </c>
      <c r="G14" s="110">
        <f>IRR(E6:E14)</f>
        <v>0.3470653149112124</v>
      </c>
      <c r="J14" s="170"/>
      <c r="K14" s="186"/>
      <c r="L14" s="101">
        <v>8</v>
      </c>
      <c r="M14" s="106">
        <f t="shared" si="4"/>
        <v>-442.85068831242847</v>
      </c>
      <c r="N14" s="106">
        <f t="shared" si="1"/>
        <v>36373.191965000689</v>
      </c>
      <c r="P14" s="150">
        <v>8</v>
      </c>
      <c r="Q14" s="151">
        <f>-AHORROS!K14</f>
        <v>-442.85068831242847</v>
      </c>
      <c r="R14" s="151">
        <f t="shared" si="2"/>
        <v>36373.191965000689</v>
      </c>
      <c r="T14" s="150">
        <v>8</v>
      </c>
      <c r="U14" s="151">
        <f>AHORROS!O14+AHORROS!P14</f>
        <v>35930.341276688254</v>
      </c>
      <c r="V14" s="151"/>
      <c r="W14" s="151">
        <f t="shared" si="3"/>
        <v>36373.191965000682</v>
      </c>
    </row>
    <row r="15" spans="1:55" ht="12" customHeight="1" x14ac:dyDescent="0.25">
      <c r="A15" s="101">
        <v>9</v>
      </c>
      <c r="B15" s="106">
        <f>AHORROS!B15+AHORROS!C15</f>
        <v>37510.973502993744</v>
      </c>
      <c r="C15" s="106">
        <f>-AHORROS!D15</f>
        <v>-442.85068831242847</v>
      </c>
      <c r="D15" s="106"/>
      <c r="E15" s="106">
        <f t="shared" si="0"/>
        <v>37953.824191306172</v>
      </c>
      <c r="F15" s="106">
        <f>NPV('AV. crecer CP'!$D$21,E7:E15)+$E$6</f>
        <v>103247.9553481394</v>
      </c>
      <c r="G15" s="110">
        <f>IRR(E6:E15)</f>
        <v>0.36018020868678069</v>
      </c>
      <c r="J15" s="170"/>
      <c r="K15" s="186"/>
      <c r="L15" s="101">
        <v>9</v>
      </c>
      <c r="M15" s="106">
        <f t="shared" si="4"/>
        <v>-442.85068831242847</v>
      </c>
      <c r="N15" s="106">
        <f t="shared" si="1"/>
        <v>37953.824191306172</v>
      </c>
      <c r="P15" s="150">
        <v>9</v>
      </c>
      <c r="Q15" s="151">
        <f>-AHORROS!K15</f>
        <v>-442.85068831242847</v>
      </c>
      <c r="R15" s="151">
        <f t="shared" si="2"/>
        <v>37953.824191306172</v>
      </c>
      <c r="T15" s="150">
        <v>9</v>
      </c>
      <c r="U15" s="151">
        <f>AHORROS!O15+AHORROS!P15</f>
        <v>37510.973502993729</v>
      </c>
      <c r="V15" s="151"/>
      <c r="W15" s="151">
        <f t="shared" si="3"/>
        <v>37953.824191306157</v>
      </c>
    </row>
    <row r="16" spans="1:55" ht="12" customHeight="1" x14ac:dyDescent="0.25">
      <c r="A16" s="101">
        <v>10</v>
      </c>
      <c r="B16" s="106">
        <f>AHORROS!B16+AHORROS!C16</f>
        <v>39426.934478036615</v>
      </c>
      <c r="C16" s="106">
        <f>-AHORROS!D16</f>
        <v>-21702.131072858916</v>
      </c>
      <c r="D16" s="106"/>
      <c r="E16" s="106">
        <f t="shared" si="0"/>
        <v>61129.065550895531</v>
      </c>
      <c r="F16" s="106">
        <f>NPV('AV. crecer CP'!$D$21,E7:E16)+$E$6</f>
        <v>126815.85636038511</v>
      </c>
      <c r="G16" s="110">
        <f>IRR(E6:E16)</f>
        <v>0.37383014969922912</v>
      </c>
      <c r="J16" s="170"/>
      <c r="K16" s="186"/>
      <c r="L16" s="101">
        <v>10</v>
      </c>
      <c r="M16" s="106">
        <f t="shared" si="4"/>
        <v>-21702.131072858916</v>
      </c>
      <c r="N16" s="106">
        <f t="shared" si="1"/>
        <v>61129.065550895531</v>
      </c>
      <c r="P16" s="150">
        <v>10</v>
      </c>
      <c r="Q16" s="151">
        <f>-AHORROS!K16</f>
        <v>-21702.131072858916</v>
      </c>
      <c r="R16" s="151">
        <f t="shared" si="2"/>
        <v>61129.065550895531</v>
      </c>
      <c r="T16" s="150">
        <v>10</v>
      </c>
      <c r="U16" s="151">
        <f>AHORROS!O16+AHORROS!P16</f>
        <v>39426.934478036615</v>
      </c>
      <c r="V16" s="151"/>
      <c r="W16" s="151">
        <f t="shared" si="3"/>
        <v>61129.065550895531</v>
      </c>
    </row>
    <row r="17" spans="1:23" ht="12" customHeight="1" x14ac:dyDescent="0.25">
      <c r="A17" s="101">
        <v>11</v>
      </c>
      <c r="B17" s="106">
        <f>AHORROS!B17+AHORROS!C17</f>
        <v>41511.90929787168</v>
      </c>
      <c r="C17" s="106">
        <f>-AHORROS!D17</f>
        <v>-442.85068831242847</v>
      </c>
      <c r="D17" s="106"/>
      <c r="E17" s="106">
        <f t="shared" si="0"/>
        <v>41954.759986184108</v>
      </c>
      <c r="F17" s="106">
        <f>NPV('AV. crecer CP'!$D$21,$E$7:E17)+$E$6</f>
        <v>141520.74378974867</v>
      </c>
      <c r="G17" s="110">
        <f>IRR(E6:E17)</f>
        <v>0.37998123448582555</v>
      </c>
      <c r="J17" s="170"/>
      <c r="K17" s="186"/>
      <c r="L17" s="101">
        <v>11</v>
      </c>
      <c r="M17" s="106">
        <f t="shared" si="4"/>
        <v>-442.85068831242847</v>
      </c>
      <c r="N17" s="106">
        <f t="shared" si="1"/>
        <v>41954.759986184108</v>
      </c>
      <c r="P17" s="150">
        <v>11</v>
      </c>
      <c r="Q17" s="151">
        <f>-AHORROS!K17</f>
        <v>-442.85068831242847</v>
      </c>
      <c r="R17" s="151">
        <f t="shared" si="2"/>
        <v>41954.759986184108</v>
      </c>
      <c r="T17" s="150">
        <v>11</v>
      </c>
      <c r="U17" s="151">
        <f>AHORROS!O17+AHORROS!P17</f>
        <v>41511.909297871665</v>
      </c>
      <c r="V17" s="151"/>
      <c r="W17" s="151">
        <f t="shared" si="3"/>
        <v>41954.759986184094</v>
      </c>
    </row>
    <row r="18" spans="1:23" ht="12" customHeight="1" x14ac:dyDescent="0.25">
      <c r="A18" s="101">
        <v>12</v>
      </c>
      <c r="B18" s="106">
        <f>AHORROS!B18+AHORROS!C18</f>
        <v>43412.023042408488</v>
      </c>
      <c r="C18" s="106">
        <f>-AHORROS!D18</f>
        <v>-442.85068831242847</v>
      </c>
      <c r="D18" s="106"/>
      <c r="E18" s="106">
        <f t="shared" si="0"/>
        <v>43854.873730720916</v>
      </c>
      <c r="F18" s="151">
        <f>NPV('AV. crecer CP'!$D$21,$E$7:E18)+$E$6</f>
        <v>155494.2580671527</v>
      </c>
      <c r="G18" s="110">
        <f>IRR(E6:E18)</f>
        <v>0.38436001726406355</v>
      </c>
      <c r="J18" s="170"/>
      <c r="K18" s="186"/>
      <c r="L18" s="101">
        <v>12</v>
      </c>
      <c r="M18" s="106">
        <f t="shared" si="4"/>
        <v>-442.85068831242847</v>
      </c>
      <c r="N18" s="106">
        <f t="shared" si="1"/>
        <v>43854.873730720916</v>
      </c>
      <c r="P18" s="150">
        <v>12</v>
      </c>
      <c r="Q18" s="151">
        <f>-AHORROS!K18</f>
        <v>-442.85068831242847</v>
      </c>
      <c r="R18" s="151">
        <f t="shared" si="2"/>
        <v>43854.873730720916</v>
      </c>
      <c r="T18" s="150">
        <v>12</v>
      </c>
      <c r="U18" s="151">
        <f>AHORROS!O18+AHORROS!P18</f>
        <v>43412.023042408488</v>
      </c>
      <c r="V18" s="151"/>
      <c r="W18" s="151">
        <f t="shared" si="3"/>
        <v>43854.873730720916</v>
      </c>
    </row>
    <row r="19" spans="1:23" ht="12" customHeight="1" x14ac:dyDescent="0.25">
      <c r="A19" s="101">
        <v>13</v>
      </c>
      <c r="B19" s="106">
        <f>AHORROS!B19+AHORROS!C19</f>
        <v>45403.975705808254</v>
      </c>
      <c r="C19" s="106">
        <f>-AHORROS!D19</f>
        <v>-442.85068831242847</v>
      </c>
      <c r="D19" s="106"/>
      <c r="E19" s="106">
        <f t="shared" si="0"/>
        <v>45846.826394120682</v>
      </c>
      <c r="F19" s="151">
        <f>NPV('AV. crecer CP'!$D$21,$E$7:E19)+$E$6</f>
        <v>168774.45059750127</v>
      </c>
      <c r="G19" s="110">
        <f>IRR(E6:E19)</f>
        <v>0.38750825512460563</v>
      </c>
      <c r="J19" s="170"/>
      <c r="K19" s="186"/>
      <c r="L19" s="101">
        <v>13</v>
      </c>
      <c r="M19" s="106">
        <f t="shared" si="4"/>
        <v>-442.85068831242847</v>
      </c>
      <c r="N19" s="106">
        <f t="shared" si="1"/>
        <v>45846.826394120682</v>
      </c>
      <c r="P19" s="150">
        <v>13</v>
      </c>
      <c r="Q19" s="151">
        <f>-AHORROS!K19</f>
        <v>-442.85068831242847</v>
      </c>
      <c r="R19" s="151">
        <f t="shared" si="2"/>
        <v>45846.826394120682</v>
      </c>
      <c r="T19" s="150">
        <v>13</v>
      </c>
      <c r="U19" s="151">
        <f>AHORROS!O19+AHORROS!P19</f>
        <v>45403.975705808254</v>
      </c>
      <c r="V19" s="151"/>
      <c r="W19" s="151">
        <f t="shared" si="3"/>
        <v>45846.826394120682</v>
      </c>
    </row>
    <row r="20" spans="1:23" ht="12" customHeight="1" x14ac:dyDescent="0.25">
      <c r="A20" s="101">
        <v>14</v>
      </c>
      <c r="B20" s="106">
        <f>AHORROS!B20+AHORROS!C20</f>
        <v>47614.789320589654</v>
      </c>
      <c r="C20" s="106">
        <f>-AHORROS!D20</f>
        <v>-442.85068831242847</v>
      </c>
      <c r="D20" s="106"/>
      <c r="E20" s="106">
        <f t="shared" si="0"/>
        <v>48057.640008902083</v>
      </c>
      <c r="F20" s="151">
        <f>NPV('AV. crecer CP'!$D$21,$E$7:E20)+$E$6</f>
        <v>181429.52922003547</v>
      </c>
      <c r="G20" s="110">
        <f>IRR($E$6:E20)</f>
        <v>0.38979580918155432</v>
      </c>
      <c r="J20" s="170"/>
      <c r="K20" s="186"/>
      <c r="L20" s="101">
        <v>14</v>
      </c>
      <c r="M20" s="106">
        <f t="shared" si="4"/>
        <v>-442.85068831242847</v>
      </c>
      <c r="N20" s="106">
        <f t="shared" si="1"/>
        <v>48057.640008902083</v>
      </c>
      <c r="P20" s="150">
        <v>14</v>
      </c>
      <c r="Q20" s="151">
        <f>-AHORROS!K20</f>
        <v>-442.85068831242847</v>
      </c>
      <c r="R20" s="151">
        <f t="shared" si="2"/>
        <v>48057.640008902083</v>
      </c>
      <c r="T20" s="150">
        <v>14</v>
      </c>
      <c r="U20" s="151">
        <f>AHORROS!O20+AHORROS!P20</f>
        <v>47614.789320589647</v>
      </c>
      <c r="V20" s="151"/>
      <c r="W20" s="151">
        <f t="shared" si="3"/>
        <v>48057.640008902075</v>
      </c>
    </row>
    <row r="21" spans="1:23" ht="12" customHeight="1" x14ac:dyDescent="0.25">
      <c r="A21" s="101">
        <v>15</v>
      </c>
      <c r="B21" s="106">
        <f>AHORROS!B21+AHORROS!C21</f>
        <v>49421.502637597128</v>
      </c>
      <c r="C21" s="106">
        <f>-AHORROS!D21</f>
        <v>-1868.2116791028004</v>
      </c>
      <c r="D21" s="106"/>
      <c r="E21" s="106">
        <f t="shared" si="0"/>
        <v>51289.71431669993</v>
      </c>
      <c r="F21" s="151">
        <f>NPV('AV. crecer CP'!$D$21,$E$7:E21)+$E$6</f>
        <v>193707.87904186916</v>
      </c>
      <c r="G21" s="110">
        <f>IRR($E$6:E21)</f>
        <v>0.39149852188521628</v>
      </c>
      <c r="J21" s="170"/>
      <c r="K21" s="186"/>
      <c r="L21" s="101">
        <v>15</v>
      </c>
      <c r="M21" s="106">
        <f t="shared" si="4"/>
        <v>-1868.2116791028004</v>
      </c>
      <c r="N21" s="106">
        <f t="shared" si="1"/>
        <v>51289.71431669993</v>
      </c>
      <c r="P21" s="150">
        <v>15</v>
      </c>
      <c r="Q21" s="151">
        <f>-AHORROS!K21</f>
        <v>-1868.2116791028004</v>
      </c>
      <c r="R21" s="151">
        <f t="shared" si="2"/>
        <v>51289.71431669993</v>
      </c>
      <c r="T21" s="150">
        <v>15</v>
      </c>
      <c r="U21" s="151">
        <f>AHORROS!O21+AHORROS!P21</f>
        <v>49421.502637597128</v>
      </c>
      <c r="V21" s="151"/>
      <c r="W21" s="151">
        <f t="shared" si="3"/>
        <v>51289.71431669993</v>
      </c>
    </row>
    <row r="22" spans="1:23" ht="12" customHeight="1" x14ac:dyDescent="0.25">
      <c r="A22" s="101"/>
      <c r="B22" s="106"/>
      <c r="C22" s="106"/>
      <c r="D22" s="106"/>
      <c r="E22" s="106"/>
      <c r="F22" s="151"/>
      <c r="G22" s="110"/>
      <c r="J22" s="170"/>
      <c r="L22" s="101"/>
      <c r="M22" s="106"/>
      <c r="N22" s="106"/>
      <c r="P22" s="150"/>
      <c r="Q22" s="151"/>
      <c r="R22" s="151"/>
      <c r="T22" s="150"/>
      <c r="U22" s="151"/>
      <c r="V22" s="151"/>
      <c r="W22" s="151"/>
    </row>
    <row r="23" spans="1:23" ht="12" customHeight="1" x14ac:dyDescent="0.25">
      <c r="A23" s="101"/>
      <c r="B23" s="106"/>
      <c r="C23" s="106"/>
      <c r="D23" s="106"/>
      <c r="E23" s="106"/>
      <c r="F23" s="151"/>
      <c r="G23" s="110"/>
      <c r="J23" s="170"/>
      <c r="K23" s="69"/>
      <c r="L23" s="101"/>
      <c r="M23" s="106"/>
      <c r="N23" s="106"/>
      <c r="P23" s="150"/>
      <c r="Q23" s="151"/>
      <c r="R23" s="151"/>
      <c r="T23" s="150"/>
      <c r="U23" s="151"/>
      <c r="V23" s="151"/>
      <c r="W23" s="151"/>
    </row>
    <row r="24" spans="1:23" ht="12" customHeight="1" x14ac:dyDescent="0.25">
      <c r="A24" s="101"/>
      <c r="B24" s="106"/>
      <c r="C24" s="106"/>
      <c r="D24" s="106"/>
      <c r="E24" s="106"/>
      <c r="F24" s="151"/>
      <c r="G24" s="110"/>
      <c r="J24" s="170"/>
      <c r="K24" s="69"/>
      <c r="L24" s="101"/>
      <c r="M24" s="106"/>
      <c r="N24" s="106"/>
      <c r="P24" s="150"/>
      <c r="Q24" s="151"/>
      <c r="R24" s="151"/>
      <c r="T24" s="150"/>
      <c r="U24" s="151"/>
      <c r="V24" s="151"/>
      <c r="W24" s="151"/>
    </row>
    <row r="25" spans="1:23" ht="12" customHeight="1" x14ac:dyDescent="0.25">
      <c r="A25" s="101"/>
      <c r="B25" s="106"/>
      <c r="C25" s="106"/>
      <c r="D25" s="106"/>
      <c r="E25" s="106"/>
      <c r="F25" s="151"/>
      <c r="G25" s="110"/>
      <c r="J25" s="170"/>
      <c r="K25" s="69"/>
      <c r="L25" s="101"/>
      <c r="M25" s="106"/>
      <c r="N25" s="106"/>
      <c r="P25" s="150"/>
      <c r="Q25" s="151"/>
      <c r="R25" s="151"/>
      <c r="T25" s="150"/>
      <c r="U25" s="151"/>
      <c r="V25" s="151"/>
      <c r="W25" s="151"/>
    </row>
    <row r="26" spans="1:23" ht="12" customHeight="1" x14ac:dyDescent="0.25">
      <c r="A26" s="101"/>
      <c r="B26" s="106"/>
      <c r="C26" s="106"/>
      <c r="D26" s="106"/>
      <c r="E26" s="106"/>
      <c r="F26" s="151"/>
      <c r="G26" s="110"/>
      <c r="J26" s="170"/>
      <c r="L26" s="101"/>
      <c r="M26" s="106"/>
      <c r="N26" s="106"/>
      <c r="P26" s="150"/>
      <c r="Q26" s="151"/>
      <c r="R26" s="151"/>
      <c r="T26" s="150"/>
      <c r="U26" s="151"/>
      <c r="V26" s="151"/>
      <c r="W26" s="151"/>
    </row>
    <row r="27" spans="1:23" ht="12" customHeight="1" x14ac:dyDescent="0.25">
      <c r="A27" s="101"/>
      <c r="B27" s="106"/>
      <c r="C27" s="106"/>
      <c r="D27" s="106"/>
      <c r="E27" s="106"/>
      <c r="F27" s="151"/>
      <c r="G27" s="110"/>
      <c r="J27" s="170"/>
      <c r="L27" s="101"/>
      <c r="M27" s="106"/>
      <c r="N27" s="106"/>
      <c r="P27" s="150"/>
      <c r="Q27" s="151"/>
      <c r="R27" s="151"/>
      <c r="T27" s="150"/>
      <c r="U27" s="151"/>
      <c r="V27" s="151"/>
      <c r="W27" s="151"/>
    </row>
    <row r="28" spans="1:23" ht="12" customHeight="1" x14ac:dyDescent="0.25">
      <c r="A28" s="101"/>
      <c r="B28" s="106"/>
      <c r="C28" s="106"/>
      <c r="D28" s="106"/>
      <c r="E28" s="106"/>
      <c r="F28" s="151"/>
      <c r="G28" s="110"/>
      <c r="J28" s="170"/>
      <c r="L28" s="101"/>
      <c r="M28" s="106"/>
      <c r="N28" s="106"/>
      <c r="P28" s="150"/>
      <c r="Q28" s="151"/>
      <c r="R28" s="151"/>
      <c r="T28" s="150"/>
      <c r="U28" s="151"/>
      <c r="V28" s="151"/>
      <c r="W28" s="151"/>
    </row>
    <row r="29" spans="1:23" ht="12" customHeight="1" x14ac:dyDescent="0.25">
      <c r="A29" s="101"/>
      <c r="B29" s="106"/>
      <c r="C29" s="106"/>
      <c r="D29" s="106"/>
      <c r="E29" s="106"/>
      <c r="F29" s="151"/>
      <c r="G29" s="110"/>
      <c r="J29" s="170"/>
      <c r="L29" s="101"/>
      <c r="M29" s="106"/>
      <c r="N29" s="106"/>
      <c r="P29" s="150"/>
      <c r="Q29" s="151"/>
      <c r="R29" s="151"/>
      <c r="T29" s="150"/>
      <c r="U29" s="151"/>
      <c r="V29" s="151"/>
      <c r="W29" s="151"/>
    </row>
    <row r="30" spans="1:23" ht="12" customHeight="1" x14ac:dyDescent="0.25">
      <c r="A30" s="101"/>
      <c r="B30" s="106"/>
      <c r="C30" s="106"/>
      <c r="D30" s="106"/>
      <c r="E30" s="106"/>
      <c r="F30" s="151"/>
      <c r="G30" s="110"/>
      <c r="J30" s="170"/>
      <c r="L30" s="101"/>
      <c r="M30" s="106"/>
      <c r="N30" s="106"/>
      <c r="P30" s="150"/>
      <c r="Q30" s="151"/>
      <c r="R30" s="151"/>
      <c r="T30" s="150"/>
      <c r="U30" s="151"/>
      <c r="V30" s="151"/>
      <c r="W30" s="151"/>
    </row>
    <row r="31" spans="1:23" ht="12" customHeight="1" x14ac:dyDescent="0.25">
      <c r="A31" s="101"/>
      <c r="B31" s="251"/>
      <c r="C31" s="106"/>
      <c r="D31" s="106"/>
      <c r="E31" s="106"/>
      <c r="F31" s="151"/>
      <c r="G31" s="110"/>
      <c r="J31" s="170"/>
      <c r="L31" s="101"/>
      <c r="M31" s="106"/>
      <c r="N31" s="106"/>
      <c r="P31" s="150"/>
      <c r="Q31" s="151"/>
      <c r="R31" s="151"/>
      <c r="T31" s="150"/>
      <c r="U31" s="151"/>
      <c r="V31" s="151"/>
      <c r="W31" s="151"/>
    </row>
    <row r="32" spans="1:23" ht="12" customHeight="1" x14ac:dyDescent="0.25">
      <c r="A32" s="101"/>
      <c r="B32" s="106"/>
      <c r="C32" s="106"/>
      <c r="D32" s="106"/>
      <c r="E32" s="106"/>
      <c r="F32" s="151"/>
      <c r="G32" s="110"/>
      <c r="J32" s="170"/>
      <c r="L32" s="101"/>
      <c r="M32" s="106"/>
      <c r="N32" s="106"/>
      <c r="P32" s="150"/>
      <c r="Q32" s="151"/>
      <c r="R32" s="151"/>
      <c r="T32" s="150"/>
      <c r="U32" s="151"/>
      <c r="V32" s="151"/>
      <c r="W32" s="151"/>
    </row>
    <row r="33" spans="1:23" ht="12" customHeight="1" x14ac:dyDescent="0.25">
      <c r="A33" s="101"/>
      <c r="B33" s="106"/>
      <c r="C33" s="106"/>
      <c r="D33" s="106"/>
      <c r="E33" s="106"/>
      <c r="F33" s="151"/>
      <c r="G33" s="110"/>
      <c r="J33" s="170"/>
      <c r="L33" s="101"/>
      <c r="M33" s="106"/>
      <c r="N33" s="106"/>
      <c r="P33" s="150"/>
      <c r="Q33" s="151"/>
      <c r="R33" s="151"/>
      <c r="T33" s="150"/>
      <c r="U33" s="151"/>
      <c r="V33" s="151"/>
      <c r="W33" s="151"/>
    </row>
    <row r="34" spans="1:23" ht="12" customHeight="1" x14ac:dyDescent="0.25">
      <c r="A34" s="101"/>
      <c r="B34" s="106"/>
      <c r="C34" s="106"/>
      <c r="D34" s="106"/>
      <c r="E34" s="106"/>
      <c r="F34" s="151"/>
      <c r="G34" s="110"/>
      <c r="J34" s="170"/>
      <c r="L34" s="101"/>
      <c r="M34" s="106"/>
      <c r="N34" s="106"/>
      <c r="P34" s="150"/>
      <c r="Q34" s="151"/>
      <c r="R34" s="151"/>
      <c r="T34" s="150"/>
      <c r="U34" s="151"/>
      <c r="V34" s="151"/>
      <c r="W34" s="151"/>
    </row>
    <row r="35" spans="1:23" ht="12" customHeight="1" x14ac:dyDescent="0.25">
      <c r="A35" s="101"/>
      <c r="B35" s="106"/>
      <c r="C35" s="106"/>
      <c r="D35" s="106"/>
      <c r="E35" s="106"/>
      <c r="F35" s="151"/>
      <c r="G35" s="110"/>
      <c r="J35" s="170"/>
      <c r="L35" s="101"/>
      <c r="M35" s="106"/>
      <c r="N35" s="106"/>
      <c r="P35" s="150"/>
      <c r="Q35" s="151"/>
      <c r="R35" s="151"/>
      <c r="T35" s="150"/>
      <c r="U35" s="151"/>
      <c r="V35" s="151"/>
      <c r="W35" s="151"/>
    </row>
    <row r="36" spans="1:23" ht="12" customHeight="1" x14ac:dyDescent="0.25">
      <c r="A36" s="101"/>
      <c r="B36" s="106"/>
      <c r="C36" s="106"/>
      <c r="D36" s="106"/>
      <c r="E36" s="106"/>
      <c r="F36" s="151"/>
      <c r="G36" s="110"/>
      <c r="J36" s="170"/>
      <c r="L36" s="101"/>
      <c r="M36" s="106"/>
      <c r="N36" s="106"/>
      <c r="P36" s="150"/>
      <c r="Q36" s="151"/>
      <c r="R36" s="151"/>
      <c r="T36" s="150"/>
      <c r="U36" s="151"/>
      <c r="V36" s="151"/>
      <c r="W36" s="151"/>
    </row>
    <row r="37" spans="1:23" x14ac:dyDescent="0.25">
      <c r="F37" s="213" t="s">
        <v>94</v>
      </c>
      <c r="G37" s="214">
        <f>(E7/(C6*1.1))</f>
        <v>0.23798493546472302</v>
      </c>
      <c r="J37" s="170"/>
      <c r="M37" s="226" t="s">
        <v>23</v>
      </c>
      <c r="N37" s="276">
        <f>NPV('AV. crecer CP'!D21,N7:N36)+N6</f>
        <v>193707.87904186916</v>
      </c>
      <c r="P37" s="130"/>
      <c r="Q37" s="226" t="s">
        <v>23</v>
      </c>
      <c r="R37" s="227">
        <f>NPV('AV. crecer CP'!D21,R7:R36)+R6</f>
        <v>193707.87904186916</v>
      </c>
      <c r="U37" s="226" t="s">
        <v>23</v>
      </c>
      <c r="V37" s="227">
        <f>NPV('AV. crecer CP'!D21,W7:W21)+W6</f>
        <v>193707.87904186916</v>
      </c>
    </row>
    <row r="38" spans="1:23" x14ac:dyDescent="0.25">
      <c r="M38" s="226" t="s">
        <v>97</v>
      </c>
      <c r="N38" s="228">
        <f>IRR(N6:N21)</f>
        <v>0.39149852188521628</v>
      </c>
      <c r="P38" s="130"/>
      <c r="Q38" s="226" t="s">
        <v>97</v>
      </c>
      <c r="R38" s="228">
        <f>IRR(R6:R21)</f>
        <v>0.39149852188521628</v>
      </c>
      <c r="U38" s="226" t="s">
        <v>97</v>
      </c>
      <c r="V38" s="228">
        <f>IRR(W6:W21)</f>
        <v>0.39149852188521606</v>
      </c>
    </row>
    <row r="39" spans="1:23" x14ac:dyDescent="0.25">
      <c r="M39" s="226" t="s">
        <v>98</v>
      </c>
      <c r="N39" s="214">
        <f>(N7/((M6*1.1)))</f>
        <v>0.23798493546472302</v>
      </c>
      <c r="P39" s="130"/>
      <c r="Q39" s="226" t="s">
        <v>98</v>
      </c>
      <c r="R39" s="214">
        <f>(R7/((Q6*1.1)))</f>
        <v>0.23798493546472302</v>
      </c>
      <c r="U39" s="226" t="s">
        <v>98</v>
      </c>
      <c r="V39" s="214">
        <f>(W7/((C6*1.1)))</f>
        <v>0.23798493546472302</v>
      </c>
    </row>
  </sheetData>
  <mergeCells count="12">
    <mergeCell ref="P4:Q4"/>
    <mergeCell ref="T4:T5"/>
    <mergeCell ref="U4:W4"/>
    <mergeCell ref="H7:I7"/>
    <mergeCell ref="H8:I8"/>
    <mergeCell ref="L4:M4"/>
    <mergeCell ref="I2:J2"/>
    <mergeCell ref="A1:G1"/>
    <mergeCell ref="F4:G4"/>
    <mergeCell ref="A3:G3"/>
    <mergeCell ref="B4:E4"/>
    <mergeCell ref="A4:A5"/>
  </mergeCells>
  <hyperlinks>
    <hyperlink ref="I2:J2" location="'DATOS DE EVALUACION'!A1" display="A la Página Principal.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90" zoomScaleNormal="90" workbookViewId="0">
      <selection activeCell="P21" sqref="P21"/>
    </sheetView>
  </sheetViews>
  <sheetFormatPr baseColWidth="10" defaultRowHeight="15" x14ac:dyDescent="0.25"/>
  <cols>
    <col min="1" max="1" width="14.42578125" customWidth="1"/>
    <col min="2" max="2" width="10.42578125" bestFit="1" customWidth="1"/>
    <col min="7" max="7" width="5.7109375" customWidth="1"/>
    <col min="8" max="8" width="14.7109375" bestFit="1" customWidth="1"/>
    <col min="13" max="13" width="5.7109375" customWidth="1"/>
    <col min="14" max="14" width="14.7109375" bestFit="1" customWidth="1"/>
  </cols>
  <sheetData>
    <row r="1" spans="1:18" ht="21" x14ac:dyDescent="0.25">
      <c r="A1" s="388" t="s">
        <v>146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3" spans="1:18" ht="31.5" customHeight="1" x14ac:dyDescent="0.25">
      <c r="A3" s="402" t="s">
        <v>133</v>
      </c>
      <c r="B3" s="402"/>
      <c r="C3" s="402"/>
      <c r="D3" s="402"/>
      <c r="E3" s="402"/>
      <c r="F3" s="402"/>
      <c r="G3" s="130"/>
      <c r="H3" s="402" t="s">
        <v>139</v>
      </c>
      <c r="I3" s="402"/>
      <c r="J3" s="402"/>
      <c r="K3" s="402"/>
      <c r="L3" s="402"/>
      <c r="M3" s="149"/>
      <c r="N3" s="402" t="s">
        <v>140</v>
      </c>
      <c r="O3" s="402"/>
      <c r="P3" s="402"/>
      <c r="Q3" s="402"/>
      <c r="R3" s="402"/>
    </row>
    <row r="4" spans="1:18" ht="26.25" thickBot="1" x14ac:dyDescent="0.3">
      <c r="A4" s="215" t="s">
        <v>99</v>
      </c>
      <c r="B4" s="215" t="s">
        <v>100</v>
      </c>
      <c r="C4" s="215" t="s">
        <v>23</v>
      </c>
      <c r="D4" s="215" t="s">
        <v>22</v>
      </c>
      <c r="E4" s="403" t="s">
        <v>24</v>
      </c>
      <c r="F4" s="403"/>
      <c r="G4" s="130"/>
      <c r="H4" s="215" t="s">
        <v>99</v>
      </c>
      <c r="I4" s="215" t="s">
        <v>23</v>
      </c>
      <c r="J4" s="215" t="s">
        <v>22</v>
      </c>
      <c r="K4" s="215" t="s">
        <v>24</v>
      </c>
      <c r="L4" s="216"/>
      <c r="M4" s="130"/>
      <c r="N4" s="215" t="s">
        <v>99</v>
      </c>
      <c r="O4" s="215" t="s">
        <v>23</v>
      </c>
      <c r="P4" s="215" t="s">
        <v>22</v>
      </c>
      <c r="Q4" s="215" t="s">
        <v>24</v>
      </c>
      <c r="R4" s="216"/>
    </row>
    <row r="5" spans="1:18" ht="15.75" thickTop="1" x14ac:dyDescent="0.25">
      <c r="A5" s="133" t="s">
        <v>101</v>
      </c>
      <c r="B5" s="179">
        <f>$B$9*(1+A5)</f>
        <v>143.16417192</v>
      </c>
      <c r="C5" s="270">
        <v>152.80000000000001</v>
      </c>
      <c r="D5" s="135">
        <v>0.26300000000000001</v>
      </c>
      <c r="E5" s="135">
        <v>0.17</v>
      </c>
      <c r="F5" s="180" t="s">
        <v>150</v>
      </c>
      <c r="G5" s="130"/>
      <c r="H5" s="133" t="s">
        <v>101</v>
      </c>
      <c r="I5" s="134">
        <v>189.24</v>
      </c>
      <c r="J5" s="135">
        <v>0.38790000000000002</v>
      </c>
      <c r="K5" s="135">
        <v>0.2366</v>
      </c>
      <c r="L5" s="135" t="s">
        <v>150</v>
      </c>
      <c r="M5" s="130"/>
      <c r="N5" s="272">
        <v>-0.68</v>
      </c>
      <c r="O5" s="273">
        <v>0</v>
      </c>
      <c r="P5" s="274">
        <v>0.10000071173122982</v>
      </c>
      <c r="Q5" s="274">
        <v>7.7899999999999997E-2</v>
      </c>
      <c r="R5" s="275" t="s">
        <v>150</v>
      </c>
    </row>
    <row r="6" spans="1:18" x14ac:dyDescent="0.25">
      <c r="A6" s="136" t="s">
        <v>102</v>
      </c>
      <c r="B6" s="156">
        <f>$B$9*(1+A6)</f>
        <v>132.93815964000001</v>
      </c>
      <c r="C6" s="271">
        <v>163.03</v>
      </c>
      <c r="D6" s="138">
        <v>0.28689999999999999</v>
      </c>
      <c r="E6" s="138">
        <v>0.18310000000000001</v>
      </c>
      <c r="F6" s="124" t="s">
        <v>150</v>
      </c>
      <c r="G6" s="130"/>
      <c r="H6" s="136" t="s">
        <v>102</v>
      </c>
      <c r="I6" s="137">
        <v>190.35</v>
      </c>
      <c r="J6" s="138">
        <v>0.38879999999999998</v>
      </c>
      <c r="K6" s="138">
        <v>0.23699999999999999</v>
      </c>
      <c r="L6" s="138" t="s">
        <v>150</v>
      </c>
      <c r="M6" s="130"/>
      <c r="N6" s="136" t="s">
        <v>101</v>
      </c>
      <c r="O6" s="137">
        <v>306.98</v>
      </c>
      <c r="P6" s="138">
        <v>0.60189999999999999</v>
      </c>
      <c r="Q6" s="138">
        <v>0.33160000000000001</v>
      </c>
      <c r="R6" s="139" t="s">
        <v>150</v>
      </c>
    </row>
    <row r="7" spans="1:18" x14ac:dyDescent="0.25">
      <c r="A7" s="136" t="s">
        <v>103</v>
      </c>
      <c r="B7" s="156">
        <f>$B$9*(1+A7)</f>
        <v>122.71214736</v>
      </c>
      <c r="C7" s="271">
        <v>173.26</v>
      </c>
      <c r="D7" s="138">
        <v>0.31509999999999999</v>
      </c>
      <c r="E7" s="138">
        <v>0.1983</v>
      </c>
      <c r="F7" s="124" t="s">
        <v>150</v>
      </c>
      <c r="G7" s="130"/>
      <c r="H7" s="136" t="s">
        <v>103</v>
      </c>
      <c r="I7" s="137">
        <v>191.47</v>
      </c>
      <c r="J7" s="138">
        <v>0.38969999999999999</v>
      </c>
      <c r="K7" s="138">
        <v>0.23730000000000001</v>
      </c>
      <c r="L7" s="138" t="s">
        <v>150</v>
      </c>
      <c r="M7" s="130"/>
      <c r="N7" s="136" t="s">
        <v>102</v>
      </c>
      <c r="O7" s="137">
        <v>278.66000000000003</v>
      </c>
      <c r="P7" s="138">
        <v>0.54400000000000004</v>
      </c>
      <c r="Q7" s="138">
        <v>0.30819999999999997</v>
      </c>
      <c r="R7" s="139" t="s">
        <v>150</v>
      </c>
    </row>
    <row r="8" spans="1:18" x14ac:dyDescent="0.25">
      <c r="A8" s="136" t="s">
        <v>104</v>
      </c>
      <c r="B8" s="156">
        <f>$B$9*(1+A8)</f>
        <v>112.48613508000001</v>
      </c>
      <c r="C8" s="271">
        <v>183.48</v>
      </c>
      <c r="D8" s="138">
        <v>0.34920000000000001</v>
      </c>
      <c r="E8" s="138">
        <v>0.21629999999999999</v>
      </c>
      <c r="F8" s="124" t="s">
        <v>150</v>
      </c>
      <c r="G8" s="130"/>
      <c r="H8" s="136" t="s">
        <v>104</v>
      </c>
      <c r="I8" s="137">
        <v>192.59</v>
      </c>
      <c r="J8" s="138">
        <v>0.3906</v>
      </c>
      <c r="K8" s="138">
        <v>0.23760000000000001</v>
      </c>
      <c r="L8" s="138" t="s">
        <v>150</v>
      </c>
      <c r="M8" s="130"/>
      <c r="N8" s="136" t="s">
        <v>103</v>
      </c>
      <c r="O8" s="137">
        <v>250.34</v>
      </c>
      <c r="P8" s="138">
        <v>0.49</v>
      </c>
      <c r="Q8" s="138">
        <v>0.2848</v>
      </c>
      <c r="R8" s="139" t="s">
        <v>150</v>
      </c>
    </row>
    <row r="9" spans="1:18" x14ac:dyDescent="0.25">
      <c r="A9" s="141" t="s">
        <v>105</v>
      </c>
      <c r="B9" s="152">
        <f>('DATOS DE EVALUACION'!P20+'COSTOS TOTALES CP'!D5)/1000</f>
        <v>102.2601228</v>
      </c>
      <c r="C9" s="142">
        <f>'INDICADORES RENTABILIDAD'!F21/1000</f>
        <v>193.70787904186918</v>
      </c>
      <c r="D9" s="153">
        <f>'INDICADORES RENTABILIDAD'!G21</f>
        <v>0.39149852188521628</v>
      </c>
      <c r="E9" s="153">
        <f>'INDICADORES RENTABILIDAD'!G37</f>
        <v>0.23798493546472302</v>
      </c>
      <c r="F9" s="154" t="s">
        <v>150</v>
      </c>
      <c r="G9" s="130"/>
      <c r="H9" s="141" t="s">
        <v>105</v>
      </c>
      <c r="I9" s="142">
        <f>C9</f>
        <v>193.70787904186918</v>
      </c>
      <c r="J9" s="153">
        <f>D9</f>
        <v>0.39149852188521628</v>
      </c>
      <c r="K9" s="153">
        <f>E9</f>
        <v>0.23798493546472302</v>
      </c>
      <c r="L9" s="153" t="s">
        <v>150</v>
      </c>
      <c r="M9" s="130"/>
      <c r="N9" s="136" t="s">
        <v>104</v>
      </c>
      <c r="O9" s="137">
        <v>222.03</v>
      </c>
      <c r="P9" s="138">
        <v>0.43930000000000002</v>
      </c>
      <c r="Q9" s="138">
        <v>0.26140000000000002</v>
      </c>
      <c r="R9" s="139" t="s">
        <v>150</v>
      </c>
    </row>
    <row r="10" spans="1:18" x14ac:dyDescent="0.25">
      <c r="A10" s="136" t="s">
        <v>106</v>
      </c>
      <c r="B10" s="156">
        <f>$B$9*(1+A10)</f>
        <v>92.034110520000013</v>
      </c>
      <c r="C10" s="137">
        <v>203</v>
      </c>
      <c r="D10" s="138">
        <v>0.44590000000000002</v>
      </c>
      <c r="E10" s="138">
        <v>0.26440000000000002</v>
      </c>
      <c r="F10" s="155" t="s">
        <v>150</v>
      </c>
      <c r="G10" s="130"/>
      <c r="H10" s="136" t="s">
        <v>106</v>
      </c>
      <c r="I10" s="156">
        <v>194.83</v>
      </c>
      <c r="J10" s="138">
        <v>0.39240000000000003</v>
      </c>
      <c r="K10" s="138">
        <v>0.23830000000000001</v>
      </c>
      <c r="L10" s="138" t="s">
        <v>150</v>
      </c>
      <c r="M10" s="130"/>
      <c r="N10" s="141" t="s">
        <v>105</v>
      </c>
      <c r="O10" s="142">
        <f>C9</f>
        <v>193.70787904186918</v>
      </c>
      <c r="P10" s="143">
        <f>D9</f>
        <v>0.39149852188521628</v>
      </c>
      <c r="Q10" s="143">
        <f>E9</f>
        <v>0.23798493546472302</v>
      </c>
      <c r="R10" s="144" t="s">
        <v>150</v>
      </c>
    </row>
    <row r="11" spans="1:18" x14ac:dyDescent="0.25">
      <c r="A11" s="136" t="s">
        <v>107</v>
      </c>
      <c r="B11" s="156">
        <f>$B$9*(1+A11)</f>
        <v>81.808098240000007</v>
      </c>
      <c r="C11" s="137">
        <v>214.16</v>
      </c>
      <c r="D11" s="138">
        <v>0.51880000000000004</v>
      </c>
      <c r="E11" s="138">
        <v>0.29749999999999999</v>
      </c>
      <c r="F11" s="155" t="s">
        <v>150</v>
      </c>
      <c r="G11" s="130"/>
      <c r="H11" s="136" t="s">
        <v>107</v>
      </c>
      <c r="I11" s="156">
        <v>195.94</v>
      </c>
      <c r="J11" s="138">
        <v>0.39329999999999998</v>
      </c>
      <c r="K11" s="138">
        <v>0.2387</v>
      </c>
      <c r="L11" s="138" t="s">
        <v>150</v>
      </c>
      <c r="M11" s="130"/>
      <c r="N11" s="136" t="s">
        <v>106</v>
      </c>
      <c r="O11" s="137">
        <v>165.39</v>
      </c>
      <c r="P11" s="138">
        <v>0.34610000000000002</v>
      </c>
      <c r="Q11" s="138">
        <v>0.21460000000000001</v>
      </c>
      <c r="R11" s="140" t="s">
        <v>150</v>
      </c>
    </row>
    <row r="12" spans="1:18" x14ac:dyDescent="0.25">
      <c r="A12" s="136" t="s">
        <v>108</v>
      </c>
      <c r="B12" s="156">
        <f>$B$9*(1+A12)</f>
        <v>71.582085960000001</v>
      </c>
      <c r="C12" s="137">
        <v>224.39</v>
      </c>
      <c r="D12" s="138">
        <v>0.623</v>
      </c>
      <c r="E12" s="138">
        <v>0.34</v>
      </c>
      <c r="F12" s="155" t="s">
        <v>150</v>
      </c>
      <c r="G12" s="130"/>
      <c r="H12" s="136" t="s">
        <v>108</v>
      </c>
      <c r="I12" s="156">
        <v>197.06</v>
      </c>
      <c r="J12" s="138">
        <v>0.39419999999999999</v>
      </c>
      <c r="K12" s="138">
        <v>0.23899999999999999</v>
      </c>
      <c r="L12" s="138" t="s">
        <v>150</v>
      </c>
      <c r="M12" s="130"/>
      <c r="N12" s="136" t="s">
        <v>107</v>
      </c>
      <c r="O12" s="137">
        <v>137.07</v>
      </c>
      <c r="P12" s="138">
        <v>0.30270000000000002</v>
      </c>
      <c r="Q12" s="138">
        <v>0.19120000000000001</v>
      </c>
      <c r="R12" s="140" t="s">
        <v>150</v>
      </c>
    </row>
    <row r="13" spans="1:18" x14ac:dyDescent="0.25">
      <c r="A13" s="136" t="s">
        <v>109</v>
      </c>
      <c r="B13" s="156">
        <f>$B$9*(1+A13)</f>
        <v>61.356073680000002</v>
      </c>
      <c r="C13" s="137">
        <v>234.61</v>
      </c>
      <c r="D13" s="138">
        <v>0.78510000000000002</v>
      </c>
      <c r="E13" s="138">
        <v>0.39660000000000001</v>
      </c>
      <c r="F13" s="155" t="s">
        <v>150</v>
      </c>
      <c r="G13" s="130"/>
      <c r="H13" s="136" t="s">
        <v>109</v>
      </c>
      <c r="I13" s="156">
        <v>198.18</v>
      </c>
      <c r="J13" s="138">
        <v>0.39500000000000002</v>
      </c>
      <c r="K13" s="138">
        <v>0.2394</v>
      </c>
      <c r="L13" s="138" t="s">
        <v>150</v>
      </c>
      <c r="M13" s="130"/>
      <c r="N13" s="136" t="s">
        <v>108</v>
      </c>
      <c r="O13" s="137">
        <v>108.75</v>
      </c>
      <c r="P13" s="138">
        <v>0.26069999999999999</v>
      </c>
      <c r="Q13" s="138">
        <v>0.1678</v>
      </c>
      <c r="R13" s="139" t="s">
        <v>150</v>
      </c>
    </row>
    <row r="14" spans="1:18" ht="15.75" thickBot="1" x14ac:dyDescent="0.3">
      <c r="A14" s="265">
        <v>1.8939999999999999</v>
      </c>
      <c r="B14" s="266">
        <f>$B$9*(1+A14)</f>
        <v>295.94079538320005</v>
      </c>
      <c r="C14" s="267">
        <v>2.0225048065185499E-3</v>
      </c>
      <c r="D14" s="268">
        <v>9.9999786223476897E-2</v>
      </c>
      <c r="E14" s="268">
        <v>8.2199999999999995E-2</v>
      </c>
      <c r="F14" s="269">
        <v>2019</v>
      </c>
      <c r="G14" s="130"/>
      <c r="H14" s="265">
        <v>17.329999999999998</v>
      </c>
      <c r="I14" s="266">
        <v>2.9757022857666016E-3</v>
      </c>
      <c r="J14" s="268">
        <v>0.10000000000035936</v>
      </c>
      <c r="K14" s="268">
        <v>0.1784</v>
      </c>
      <c r="L14" s="404">
        <v>2019</v>
      </c>
      <c r="M14" s="130"/>
      <c r="N14" s="145" t="s">
        <v>109</v>
      </c>
      <c r="O14" s="146">
        <v>80.44</v>
      </c>
      <c r="P14" s="147">
        <v>0.2195</v>
      </c>
      <c r="Q14" s="147">
        <v>0.1444</v>
      </c>
      <c r="R14" s="148" t="s">
        <v>150</v>
      </c>
    </row>
    <row r="15" spans="1:18" ht="15.75" thickTop="1" x14ac:dyDescent="0.25">
      <c r="G15" s="139"/>
      <c r="M15" s="139"/>
    </row>
    <row r="16" spans="1:18" x14ac:dyDescent="0.25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</row>
    <row r="17" spans="1:18" x14ac:dyDescent="0.25">
      <c r="A17" s="132"/>
      <c r="B17" s="131"/>
      <c r="C17" s="131"/>
      <c r="D17" s="131"/>
      <c r="E17" s="131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</row>
    <row r="18" spans="1:18" x14ac:dyDescent="0.25">
      <c r="A18" s="157" t="s">
        <v>110</v>
      </c>
      <c r="B18" s="131"/>
      <c r="C18" s="131"/>
      <c r="D18" s="131"/>
      <c r="E18" s="131"/>
      <c r="F18" s="130"/>
      <c r="G18" s="130"/>
      <c r="H18" s="157" t="s">
        <v>110</v>
      </c>
      <c r="I18" s="131"/>
      <c r="J18" s="131"/>
      <c r="L18" s="130"/>
      <c r="M18" s="130"/>
      <c r="N18" s="157" t="s">
        <v>110</v>
      </c>
      <c r="O18" s="131"/>
      <c r="P18" s="131"/>
      <c r="Q18" s="130"/>
      <c r="R18" s="130"/>
    </row>
    <row r="19" spans="1:18" ht="15.75" thickBot="1" x14ac:dyDescent="0.3">
      <c r="A19" s="401" t="s">
        <v>111</v>
      </c>
      <c r="B19" s="401"/>
      <c r="C19" s="401"/>
      <c r="D19" s="401"/>
      <c r="E19" s="131"/>
      <c r="F19" s="130"/>
      <c r="G19" s="130"/>
      <c r="H19" s="401" t="s">
        <v>116</v>
      </c>
      <c r="I19" s="401"/>
      <c r="J19" s="401"/>
      <c r="L19" s="130"/>
      <c r="M19" s="130"/>
      <c r="N19" s="401" t="s">
        <v>115</v>
      </c>
      <c r="O19" s="401"/>
      <c r="P19" s="401"/>
      <c r="Q19" s="130"/>
      <c r="R19" s="130"/>
    </row>
    <row r="20" spans="1:18" ht="15.75" thickBot="1" x14ac:dyDescent="0.3">
      <c r="A20" s="217"/>
      <c r="B20" s="217"/>
      <c r="C20" s="218" t="s">
        <v>99</v>
      </c>
      <c r="D20" s="158">
        <v>0</v>
      </c>
      <c r="E20" s="131"/>
      <c r="F20" s="130"/>
      <c r="G20" s="130"/>
      <c r="H20" s="217"/>
      <c r="I20" s="218" t="s">
        <v>99</v>
      </c>
      <c r="J20" s="158">
        <v>0</v>
      </c>
      <c r="L20" s="130"/>
      <c r="M20" s="130"/>
      <c r="N20" s="217"/>
      <c r="O20" s="218" t="s">
        <v>99</v>
      </c>
      <c r="P20" s="219">
        <v>0</v>
      </c>
      <c r="Q20" s="130"/>
      <c r="R20" s="130"/>
    </row>
    <row r="21" spans="1:18" ht="5.0999999999999996" customHeight="1" x14ac:dyDescent="0.25">
      <c r="A21" s="131"/>
      <c r="B21" s="131"/>
      <c r="C21" s="131"/>
      <c r="D21" s="131"/>
      <c r="E21" s="131"/>
      <c r="F21" s="130"/>
      <c r="G21" s="130"/>
      <c r="H21" s="131"/>
      <c r="I21" s="131"/>
      <c r="J21" s="131"/>
      <c r="L21" s="130"/>
      <c r="M21" s="130"/>
      <c r="N21" s="131"/>
      <c r="O21" s="131"/>
      <c r="P21" s="131"/>
      <c r="Q21" s="130"/>
      <c r="R21" s="130"/>
    </row>
    <row r="22" spans="1:18" x14ac:dyDescent="0.25">
      <c r="A22" s="220" t="s">
        <v>114</v>
      </c>
      <c r="B22" s="220" t="s">
        <v>113</v>
      </c>
      <c r="C22" s="220" t="s">
        <v>22</v>
      </c>
      <c r="D22" s="220" t="s">
        <v>24</v>
      </c>
      <c r="E22" s="131"/>
      <c r="F22" s="130"/>
      <c r="G22" s="130"/>
      <c r="H22" s="220" t="s">
        <v>113</v>
      </c>
      <c r="I22" s="220" t="s">
        <v>22</v>
      </c>
      <c r="J22" s="220" t="s">
        <v>24</v>
      </c>
      <c r="L22" s="130"/>
      <c r="M22" s="130"/>
      <c r="N22" s="220" t="s">
        <v>113</v>
      </c>
      <c r="O22" s="220" t="s">
        <v>22</v>
      </c>
      <c r="P22" s="220" t="s">
        <v>24</v>
      </c>
      <c r="Q22" s="130"/>
      <c r="R22" s="130"/>
    </row>
    <row r="23" spans="1:18" ht="5.0999999999999996" customHeight="1" x14ac:dyDescent="0.25">
      <c r="A23" s="131"/>
      <c r="B23" s="131"/>
      <c r="C23" s="131"/>
      <c r="D23" s="131"/>
      <c r="E23" s="131"/>
      <c r="F23" s="130"/>
      <c r="G23" s="130"/>
      <c r="H23" s="223"/>
      <c r="I23" s="223"/>
      <c r="J23" s="223"/>
      <c r="L23" s="130"/>
      <c r="M23" s="130"/>
      <c r="N23" s="131"/>
      <c r="O23" s="131"/>
      <c r="P23" s="131"/>
      <c r="Q23" s="130"/>
      <c r="R23" s="130"/>
    </row>
    <row r="24" spans="1:18" x14ac:dyDescent="0.25">
      <c r="A24" s="221">
        <f>('INDICADORES RENTABILIDAD'!M6)/1000</f>
        <v>102.2601228</v>
      </c>
      <c r="B24" s="221">
        <f>'INDICADORES RENTABILIDAD'!N37/1000</f>
        <v>193.70787904186918</v>
      </c>
      <c r="C24" s="222">
        <f>'INDICADORES RENTABILIDAD'!N38</f>
        <v>0.39149852188521628</v>
      </c>
      <c r="D24" s="222">
        <f>'INDICADORES RENTABILIDAD'!N39</f>
        <v>0.23798493546472302</v>
      </c>
      <c r="E24" s="131"/>
      <c r="F24" s="130"/>
      <c r="G24" s="130"/>
      <c r="H24" s="221">
        <f>'INDICADORES RENTABILIDAD'!R37/1000</f>
        <v>193.70787904186918</v>
      </c>
      <c r="I24" s="222">
        <f>'INDICADORES RENTABILIDAD'!R38</f>
        <v>0.39149852188521628</v>
      </c>
      <c r="J24" s="222">
        <f>'INDICADORES RENTABILIDAD'!R39</f>
        <v>0.23798493546472302</v>
      </c>
      <c r="L24" s="130"/>
      <c r="M24" s="130"/>
      <c r="N24" s="221">
        <f>'INDICADORES RENTABILIDAD'!V37/1000</f>
        <v>193.70787904186918</v>
      </c>
      <c r="O24" s="222">
        <f>'INDICADORES RENTABILIDAD'!V38</f>
        <v>0.39149852188521606</v>
      </c>
      <c r="P24" s="222">
        <f>'INDICADORES RENTABILIDAD'!V39</f>
        <v>0.23798493546472302</v>
      </c>
      <c r="Q24" s="130"/>
      <c r="R24" s="130"/>
    </row>
    <row r="25" spans="1:18" x14ac:dyDescent="0.25">
      <c r="A25" s="262" t="s">
        <v>112</v>
      </c>
      <c r="C25" s="131"/>
      <c r="D25" s="131"/>
      <c r="E25" s="131"/>
      <c r="F25" s="130"/>
      <c r="G25" s="130"/>
      <c r="H25" s="262" t="s">
        <v>112</v>
      </c>
      <c r="I25" s="131"/>
      <c r="J25" s="131"/>
      <c r="L25" s="130"/>
      <c r="M25" s="130"/>
      <c r="N25" s="262" t="s">
        <v>112</v>
      </c>
      <c r="O25" s="131"/>
      <c r="P25" s="131"/>
      <c r="Q25" s="130"/>
      <c r="R25" s="130"/>
    </row>
    <row r="26" spans="1:18" x14ac:dyDescent="0.25">
      <c r="A26" s="131"/>
      <c r="B26" s="131"/>
      <c r="C26" s="131"/>
      <c r="D26" s="131"/>
      <c r="E26" s="131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</row>
    <row r="27" spans="1:18" x14ac:dyDescent="0.25">
      <c r="A27" s="131"/>
      <c r="B27" s="131"/>
      <c r="C27" s="131"/>
      <c r="D27" s="131"/>
      <c r="E27" s="131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</row>
    <row r="28" spans="1:18" x14ac:dyDescent="0.25">
      <c r="A28" s="131"/>
      <c r="B28" s="131"/>
      <c r="C28" s="131"/>
      <c r="D28" s="131"/>
      <c r="E28" s="131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</row>
    <row r="29" spans="1:18" x14ac:dyDescent="0.25">
      <c r="A29" s="131"/>
      <c r="B29" s="131"/>
      <c r="C29" s="131"/>
      <c r="D29" s="131"/>
      <c r="E29" s="131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1:18" x14ac:dyDescent="0.25">
      <c r="A30" s="131"/>
      <c r="B30" s="131"/>
      <c r="C30" s="131"/>
      <c r="D30" s="131"/>
      <c r="E30" s="131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</sheetData>
  <mergeCells count="8">
    <mergeCell ref="A19:D19"/>
    <mergeCell ref="H19:J19"/>
    <mergeCell ref="N19:P19"/>
    <mergeCell ref="A1:R1"/>
    <mergeCell ref="N3:R3"/>
    <mergeCell ref="E4:F4"/>
    <mergeCell ref="A3:F3"/>
    <mergeCell ref="H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DATOS DE EVALUACION</vt:lpstr>
      <vt:lpstr>AV. SIGLO XXI SP</vt:lpstr>
      <vt:lpstr>AV. crecer CP</vt:lpstr>
      <vt:lpstr>COSTOS TOTALES SP</vt:lpstr>
      <vt:lpstr>COSTOS TOTALES CP</vt:lpstr>
      <vt:lpstr>AHORROS</vt:lpstr>
      <vt:lpstr>INDICADORES RENTABILIDAD</vt:lpstr>
      <vt:lpstr>SENSIBILIDAD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UNIPPIP</cp:lastModifiedBy>
  <dcterms:created xsi:type="dcterms:W3CDTF">2014-08-25T16:51:23Z</dcterms:created>
  <dcterms:modified xsi:type="dcterms:W3CDTF">2019-03-12T18:50:41Z</dcterms:modified>
</cp:coreProperties>
</file>